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\WIELOLETNIA PROGNOZA FINANSOWA\WPF na 2019 rok\zmiany\sesja RM 30 maj\projekt\"/>
    </mc:Choice>
  </mc:AlternateContent>
  <xr:revisionPtr revIDLastSave="0" documentId="13_ncr:1_{47393CBC-A751-4853-BAE5-585B5183719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WPF-Zał 1" sheetId="1" r:id="rId1"/>
    <sheet name="Zał. 2" sheetId="2" r:id="rId2"/>
  </sheets>
  <definedNames>
    <definedName name="_xlnm.Print_Titles" localSheetId="0">'WPF-Zał 1'!$7:$7</definedName>
    <definedName name="_xlnm.Print_Titles" localSheetId="1">'Zał. 2'!$7:$10</definedName>
  </definedNames>
  <calcPr calcId="181029"/>
</workbook>
</file>

<file path=xl/calcChain.xml><?xml version="1.0" encoding="utf-8"?>
<calcChain xmlns="http://schemas.openxmlformats.org/spreadsheetml/2006/main">
  <c r="W39" i="1" l="1"/>
  <c r="W38" i="1"/>
  <c r="W37" i="1"/>
  <c r="W87" i="1" l="1"/>
  <c r="V87" i="1"/>
  <c r="Y72" i="1"/>
  <c r="X72" i="1"/>
  <c r="W72" i="1"/>
  <c r="V72" i="1"/>
  <c r="V78" i="1" l="1"/>
  <c r="Y71" i="1"/>
  <c r="X71" i="1"/>
  <c r="W71" i="1"/>
  <c r="V71" i="1"/>
  <c r="W36" i="1"/>
  <c r="V37" i="1"/>
  <c r="V36" i="1"/>
  <c r="Y16" i="1"/>
  <c r="X16" i="1"/>
  <c r="W16" i="1"/>
  <c r="V16" i="1"/>
  <c r="K212" i="2" l="1"/>
  <c r="J212" i="2"/>
  <c r="I212" i="2"/>
  <c r="H212" i="2"/>
  <c r="H188" i="2" l="1"/>
  <c r="H186" i="2"/>
  <c r="H200" i="2"/>
  <c r="H190" i="2"/>
  <c r="H65" i="2" l="1"/>
  <c r="G65" i="2"/>
  <c r="K105" i="2"/>
  <c r="I105" i="2"/>
  <c r="H105" i="2"/>
  <c r="G105" i="2"/>
  <c r="F105" i="2" l="1"/>
  <c r="F65" i="2"/>
  <c r="H73" i="2" l="1"/>
  <c r="H77" i="2"/>
  <c r="G77" i="2"/>
  <c r="H126" i="2"/>
  <c r="H184" i="2" l="1"/>
  <c r="H51" i="2" l="1"/>
  <c r="K206" i="2" l="1"/>
  <c r="I206" i="2"/>
  <c r="H206" i="2"/>
  <c r="H196" i="2"/>
  <c r="H134" i="2"/>
  <c r="H47" i="2"/>
  <c r="H49" i="2"/>
  <c r="H23" i="2"/>
  <c r="V39" i="1" l="1"/>
  <c r="V38" i="1"/>
  <c r="H166" i="2" l="1"/>
  <c r="W91" i="1" l="1"/>
  <c r="W89" i="1"/>
  <c r="V76" i="1"/>
  <c r="H240" i="2"/>
  <c r="K240" i="2"/>
  <c r="K120" i="2" l="1"/>
  <c r="I120" i="2"/>
  <c r="H120" i="2"/>
  <c r="F103" i="2" l="1"/>
  <c r="X82" i="1" l="1"/>
  <c r="X81" i="1"/>
  <c r="V85" i="1"/>
  <c r="V84" i="1"/>
  <c r="V83" i="1"/>
  <c r="V20" i="1"/>
  <c r="H180" i="2" l="1"/>
  <c r="J147" i="2"/>
  <c r="F272" i="2"/>
  <c r="F270" i="2"/>
  <c r="F268" i="2" l="1"/>
  <c r="H238" i="2"/>
  <c r="U19" i="1" l="1"/>
  <c r="V29" i="1" l="1"/>
  <c r="V28" i="1"/>
  <c r="F101" i="2" l="1"/>
  <c r="F108" i="2"/>
  <c r="H266" i="2" l="1"/>
  <c r="F266" i="2" s="1"/>
  <c r="K122" i="2" l="1"/>
  <c r="I122" i="2"/>
  <c r="H122" i="2"/>
  <c r="U94" i="1" l="1"/>
  <c r="U92" i="1"/>
  <c r="U16" i="1"/>
  <c r="U74" i="1" l="1"/>
  <c r="U88" i="1"/>
  <c r="U86" i="1"/>
  <c r="U95" i="1" l="1"/>
  <c r="U76" i="1" l="1"/>
  <c r="U77" i="1" s="1"/>
  <c r="X76" i="1"/>
  <c r="X78" i="1"/>
  <c r="W76" i="1"/>
  <c r="W78" i="1"/>
  <c r="X91" i="1" l="1"/>
  <c r="X90" i="1"/>
  <c r="X89" i="1"/>
  <c r="X88" i="1"/>
  <c r="X87" i="1"/>
  <c r="X86" i="1"/>
  <c r="W90" i="1"/>
  <c r="W88" i="1"/>
  <c r="W86" i="1"/>
  <c r="U72" i="1" l="1"/>
  <c r="U71" i="1"/>
  <c r="X38" i="1"/>
  <c r="X20" i="1"/>
  <c r="W20" i="1"/>
  <c r="U20" i="1"/>
  <c r="V15" i="1"/>
  <c r="U15" i="1"/>
  <c r="G136" i="2" l="1"/>
  <c r="G132" i="2"/>
  <c r="G124" i="2"/>
  <c r="G118" i="2"/>
  <c r="G114" i="2"/>
  <c r="G138" i="2"/>
  <c r="G97" i="2"/>
  <c r="G75" i="2" l="1"/>
  <c r="G73" i="2"/>
  <c r="G71" i="2"/>
  <c r="G89" i="2"/>
  <c r="G47" i="2"/>
  <c r="G39" i="2"/>
  <c r="G35" i="2"/>
  <c r="G31" i="2"/>
  <c r="G27" i="2"/>
  <c r="G23" i="2"/>
  <c r="G19" i="2"/>
  <c r="J99" i="2" l="1"/>
  <c r="I99" i="2"/>
  <c r="H99" i="2"/>
  <c r="F99" i="2" s="1"/>
  <c r="K128" i="2"/>
  <c r="J128" i="2"/>
  <c r="I128" i="2"/>
  <c r="H128" i="2"/>
  <c r="H124" i="2"/>
  <c r="H75" i="2"/>
  <c r="H35" i="2"/>
  <c r="I39" i="2"/>
  <c r="H39" i="2"/>
  <c r="G51" i="2" l="1"/>
  <c r="H33" i="2"/>
  <c r="G33" i="2"/>
  <c r="H55" i="2"/>
  <c r="G55" i="2"/>
  <c r="F97" i="2"/>
  <c r="F95" i="2" l="1"/>
  <c r="G49" i="2"/>
  <c r="H53" i="2"/>
  <c r="G53" i="2"/>
  <c r="H57" i="2"/>
  <c r="G57" i="2"/>
  <c r="H59" i="2"/>
  <c r="G59" i="2"/>
  <c r="H63" i="2"/>
  <c r="G63" i="2"/>
  <c r="H17" i="2"/>
  <c r="G17" i="2"/>
  <c r="H21" i="2"/>
  <c r="G21" i="2"/>
  <c r="K61" i="2"/>
  <c r="H61" i="2"/>
  <c r="G61" i="2"/>
  <c r="K69" i="2"/>
  <c r="H69" i="2"/>
  <c r="G69" i="2"/>
  <c r="H25" i="2"/>
  <c r="G25" i="2"/>
  <c r="H67" i="2"/>
  <c r="G67" i="2"/>
  <c r="K45" i="2" l="1"/>
  <c r="I45" i="2"/>
  <c r="G45" i="2"/>
  <c r="K262" i="2" l="1"/>
  <c r="K260" i="2"/>
  <c r="K258" i="2"/>
  <c r="K256" i="2"/>
  <c r="K252" i="2"/>
  <c r="K250" i="2"/>
  <c r="K248" i="2"/>
  <c r="K246" i="2"/>
  <c r="K244" i="2"/>
  <c r="K238" i="2"/>
  <c r="K236" i="2"/>
  <c r="K234" i="2"/>
  <c r="K232" i="2"/>
  <c r="K230" i="2"/>
  <c r="K228" i="2"/>
  <c r="K226" i="2"/>
  <c r="K224" i="2"/>
  <c r="K222" i="2"/>
  <c r="K220" i="2"/>
  <c r="K218" i="2"/>
  <c r="K216" i="2"/>
  <c r="K214" i="2"/>
  <c r="K210" i="2"/>
  <c r="K208" i="2"/>
  <c r="K204" i="2"/>
  <c r="K200" i="2"/>
  <c r="K198" i="2"/>
  <c r="K196" i="2"/>
  <c r="K194" i="2"/>
  <c r="K192" i="2"/>
  <c r="K190" i="2"/>
  <c r="K188" i="2"/>
  <c r="K186" i="2"/>
  <c r="K184" i="2"/>
  <c r="K180" i="2"/>
  <c r="K178" i="2"/>
  <c r="K176" i="2"/>
  <c r="K172" i="2"/>
  <c r="K170" i="2"/>
  <c r="K164" i="2"/>
  <c r="K156" i="2"/>
  <c r="K152" i="2"/>
  <c r="K150" i="2"/>
  <c r="G170" i="2" l="1"/>
  <c r="G256" i="2"/>
  <c r="G260" i="2"/>
  <c r="G244" i="2"/>
  <c r="G242" i="2"/>
  <c r="G234" i="2"/>
  <c r="G230" i="2"/>
  <c r="G224" i="2"/>
  <c r="G212" i="2"/>
  <c r="G210" i="2"/>
  <c r="G206" i="2"/>
  <c r="G204" i="2"/>
  <c r="G202" i="2"/>
  <c r="G200" i="2"/>
  <c r="G192" i="2"/>
  <c r="G184" i="2" l="1"/>
  <c r="G180" i="2"/>
  <c r="G168" i="2"/>
  <c r="G166" i="2"/>
  <c r="G160" i="2" l="1"/>
  <c r="G154" i="2"/>
  <c r="G152" i="2"/>
  <c r="K132" i="2" l="1"/>
  <c r="AA38" i="1" l="1"/>
  <c r="Z38" i="1"/>
  <c r="Y38" i="1"/>
  <c r="I132" i="2" l="1"/>
  <c r="H132" i="2"/>
  <c r="Y77" i="1" l="1"/>
  <c r="Z77" i="1"/>
  <c r="AA77" i="1"/>
  <c r="W77" i="1" l="1"/>
  <c r="H19" i="2" l="1"/>
  <c r="H226" i="2"/>
  <c r="H130" i="2" l="1"/>
  <c r="F93" i="2"/>
  <c r="G91" i="2" l="1"/>
  <c r="H91" i="2"/>
  <c r="K91" i="2" l="1"/>
  <c r="F91" i="2"/>
  <c r="K118" i="2" l="1"/>
  <c r="K114" i="2"/>
  <c r="H71" i="2" l="1"/>
  <c r="H114" i="2" l="1"/>
  <c r="H118" i="2"/>
  <c r="G264" i="2" l="1"/>
  <c r="H264" i="2"/>
  <c r="H156" i="2"/>
  <c r="K160" i="2"/>
  <c r="H160" i="2"/>
  <c r="F264" i="2" l="1"/>
  <c r="X77" i="1" l="1"/>
  <c r="V77" i="1" l="1"/>
  <c r="V42" i="1"/>
  <c r="V14" i="1"/>
  <c r="K154" i="2" l="1"/>
  <c r="I154" i="2"/>
  <c r="I140" i="2" l="1"/>
  <c r="I107" i="2" s="1"/>
  <c r="H140" i="2"/>
  <c r="K136" i="2"/>
  <c r="K107" i="2" s="1"/>
  <c r="G134" i="2"/>
  <c r="K89" i="2"/>
  <c r="K79" i="2"/>
  <c r="K47" i="2" l="1"/>
  <c r="G262" i="2" l="1"/>
  <c r="F262" i="2" l="1"/>
  <c r="F260" i="2" l="1"/>
  <c r="F258" i="2"/>
  <c r="G140" i="2" l="1"/>
  <c r="J140" i="2" l="1"/>
  <c r="J107" i="2" s="1"/>
  <c r="F140" i="2" l="1"/>
  <c r="F138" i="2"/>
  <c r="K85" i="2" l="1"/>
  <c r="F136" i="2" l="1"/>
  <c r="F89" i="2"/>
  <c r="F47" i="2"/>
  <c r="G79" i="2"/>
  <c r="H79" i="2"/>
  <c r="F256" i="2" l="1"/>
  <c r="I180" i="2"/>
  <c r="H214" i="2"/>
  <c r="H85" i="2"/>
  <c r="F87" i="2" l="1"/>
  <c r="F77" i="2" l="1"/>
  <c r="T72" i="1" l="1"/>
  <c r="T71" i="1"/>
  <c r="T37" i="1" l="1"/>
  <c r="T36" i="1"/>
  <c r="T42" i="1"/>
  <c r="T20" i="1"/>
  <c r="T16" i="1"/>
  <c r="Z15" i="1"/>
  <c r="Y15" i="1"/>
  <c r="X15" i="1"/>
  <c r="W15" i="1"/>
  <c r="T15" i="1"/>
  <c r="F254" i="2" l="1"/>
  <c r="F252" i="2"/>
  <c r="F250" i="2"/>
  <c r="F248" i="2"/>
  <c r="F246" i="2"/>
  <c r="F29" i="2"/>
  <c r="F37" i="2"/>
  <c r="F41" i="2"/>
  <c r="F43" i="2"/>
  <c r="F81" i="2"/>
  <c r="F244" i="2" l="1"/>
  <c r="F242" i="2"/>
  <c r="F234" i="2"/>
  <c r="G236" i="2"/>
  <c r="G228" i="2"/>
  <c r="F228" i="2" s="1"/>
  <c r="G226" i="2"/>
  <c r="G174" i="2"/>
  <c r="G218" i="2"/>
  <c r="G214" i="2"/>
  <c r="F210" i="2"/>
  <c r="G208" i="2"/>
  <c r="G232" i="2"/>
  <c r="G196" i="2"/>
  <c r="G190" i="2"/>
  <c r="G186" i="2"/>
  <c r="G178" i="2"/>
  <c r="G176" i="2"/>
  <c r="G172" i="2"/>
  <c r="F172" i="2" s="1"/>
  <c r="F170" i="2"/>
  <c r="G164" i="2"/>
  <c r="G162" i="2"/>
  <c r="F160" i="2"/>
  <c r="G158" i="2"/>
  <c r="F158" i="2" s="1"/>
  <c r="G156" i="2"/>
  <c r="F152" i="2"/>
  <c r="G150" i="2"/>
  <c r="G148" i="2"/>
  <c r="F148" i="2" l="1"/>
  <c r="G130" i="2"/>
  <c r="F130" i="2" s="1"/>
  <c r="G128" i="2"/>
  <c r="F124" i="2"/>
  <c r="G85" i="2"/>
  <c r="G16" i="2" s="1"/>
  <c r="F79" i="2"/>
  <c r="F75" i="2"/>
  <c r="F71" i="2"/>
  <c r="F69" i="2"/>
  <c r="F67" i="2"/>
  <c r="F63" i="2"/>
  <c r="F61" i="2"/>
  <c r="F59" i="2"/>
  <c r="F57" i="2"/>
  <c r="F55" i="2"/>
  <c r="F53" i="2"/>
  <c r="F51" i="2"/>
  <c r="F49" i="2"/>
  <c r="F45" i="2"/>
  <c r="F39" i="2"/>
  <c r="F35" i="2"/>
  <c r="F33" i="2"/>
  <c r="F27" i="2"/>
  <c r="F19" i="2"/>
  <c r="T112" i="1"/>
  <c r="T111" i="1"/>
  <c r="T110" i="1"/>
  <c r="T97" i="1"/>
  <c r="T98" i="1" s="1"/>
  <c r="T99" i="1" s="1"/>
  <c r="T78" i="1"/>
  <c r="T76" i="1"/>
  <c r="T77" i="1" s="1"/>
  <c r="T73" i="1"/>
  <c r="T46" i="1"/>
  <c r="T45" i="1"/>
  <c r="T44" i="1" s="1"/>
  <c r="T56" i="1"/>
  <c r="T29" i="1"/>
  <c r="T28" i="1"/>
  <c r="T8" i="1"/>
  <c r="T59" i="1" s="1"/>
  <c r="F17" i="2" l="1"/>
  <c r="T58" i="1"/>
  <c r="T63" i="1"/>
  <c r="T35" i="1"/>
  <c r="T55" i="1"/>
  <c r="T61" i="1"/>
  <c r="T62" i="1"/>
  <c r="T21" i="1"/>
  <c r="T34" i="1" s="1"/>
  <c r="F190" i="2" l="1"/>
  <c r="Y36" i="1" l="1"/>
  <c r="F226" i="2" l="1"/>
  <c r="F118" i="2" l="1"/>
  <c r="F132" i="2"/>
  <c r="F240" i="2" l="1"/>
  <c r="F156" i="2"/>
  <c r="H222" i="2" l="1"/>
  <c r="F222" i="2" s="1"/>
  <c r="F23" i="2" l="1"/>
  <c r="H224" i="2"/>
  <c r="F224" i="2" s="1"/>
  <c r="F238" i="2" l="1"/>
  <c r="F184" i="2" l="1"/>
  <c r="F21" i="2" l="1"/>
  <c r="F114" i="2"/>
  <c r="F128" i="2"/>
  <c r="H236" i="2"/>
  <c r="F236" i="2" s="1"/>
  <c r="H178" i="2"/>
  <c r="F178" i="2" s="1"/>
  <c r="F180" i="2"/>
  <c r="H168" i="2"/>
  <c r="F168" i="2" s="1"/>
  <c r="H162" i="2"/>
  <c r="H164" i="2"/>
  <c r="F164" i="2" s="1"/>
  <c r="H150" i="2"/>
  <c r="H194" i="2"/>
  <c r="H176" i="2"/>
  <c r="F176" i="2" s="1"/>
  <c r="H230" i="2"/>
  <c r="F230" i="2" s="1"/>
  <c r="F186" i="2"/>
  <c r="F150" i="2" l="1"/>
  <c r="H31" i="2"/>
  <c r="F31" i="2" l="1"/>
  <c r="F25" i="2"/>
  <c r="H216" i="2"/>
  <c r="H182" i="2" l="1"/>
  <c r="I85" i="2"/>
  <c r="F85" i="2"/>
  <c r="F126" i="2" l="1"/>
  <c r="AA36" i="1" l="1"/>
  <c r="H110" i="2" l="1"/>
  <c r="H116" i="2"/>
  <c r="H232" i="2"/>
  <c r="F232" i="2" s="1"/>
  <c r="G122" i="2"/>
  <c r="F122" i="2" s="1"/>
  <c r="H112" i="2"/>
  <c r="F112" i="2" s="1"/>
  <c r="H220" i="2"/>
  <c r="F220" i="2" s="1"/>
  <c r="H107" i="2" l="1"/>
  <c r="F110" i="2"/>
  <c r="H204" i="2"/>
  <c r="F204" i="2" s="1"/>
  <c r="H218" i="2"/>
  <c r="F218" i="2" s="1"/>
  <c r="H198" i="2"/>
  <c r="F198" i="2" s="1"/>
  <c r="F200" i="2"/>
  <c r="F214" i="2" l="1"/>
  <c r="F206" i="2" l="1"/>
  <c r="I162" i="2" l="1"/>
  <c r="F162" i="2" l="1"/>
  <c r="H154" i="2"/>
  <c r="F154" i="2" l="1"/>
  <c r="H174" i="2"/>
  <c r="F174" i="2" s="1"/>
  <c r="G216" i="2"/>
  <c r="F216" i="2" s="1"/>
  <c r="F212" i="2"/>
  <c r="H208" i="2"/>
  <c r="F208" i="2" s="1"/>
  <c r="H202" i="2"/>
  <c r="F202" i="2" s="1"/>
  <c r="F196" i="2"/>
  <c r="G194" i="2"/>
  <c r="F194" i="2" s="1"/>
  <c r="H192" i="2"/>
  <c r="F192" i="2" s="1"/>
  <c r="G188" i="2"/>
  <c r="K182" i="2"/>
  <c r="K147" i="2" s="1"/>
  <c r="I182" i="2"/>
  <c r="I147" i="2" s="1"/>
  <c r="F166" i="2"/>
  <c r="J145" i="2"/>
  <c r="J142" i="2"/>
  <c r="I142" i="2"/>
  <c r="H142" i="2"/>
  <c r="G142" i="2"/>
  <c r="F142" i="2"/>
  <c r="G120" i="2"/>
  <c r="F120" i="2" s="1"/>
  <c r="G116" i="2"/>
  <c r="K83" i="2"/>
  <c r="K16" i="2" s="1"/>
  <c r="J83" i="2"/>
  <c r="J16" i="2" s="1"/>
  <c r="I83" i="2"/>
  <c r="I16" i="2" s="1"/>
  <c r="H83" i="2"/>
  <c r="H16" i="2" s="1"/>
  <c r="F73" i="2"/>
  <c r="J14" i="2"/>
  <c r="I13" i="2" l="1"/>
  <c r="G107" i="2"/>
  <c r="G147" i="2"/>
  <c r="H13" i="2"/>
  <c r="H147" i="2"/>
  <c r="H145" i="2" s="1"/>
  <c r="K145" i="2"/>
  <c r="F188" i="2"/>
  <c r="F116" i="2"/>
  <c r="F83" i="2"/>
  <c r="F16" i="2" s="1"/>
  <c r="I145" i="2"/>
  <c r="F182" i="2"/>
  <c r="F134" i="2"/>
  <c r="G13" i="2"/>
  <c r="J15" i="2"/>
  <c r="J13" i="2"/>
  <c r="J12" i="2" s="1"/>
  <c r="F147" i="2" l="1"/>
  <c r="F107" i="2"/>
  <c r="K13" i="2"/>
  <c r="I15" i="2"/>
  <c r="K15" i="2"/>
  <c r="G15" i="2"/>
  <c r="H14" i="2"/>
  <c r="H12" i="2" s="1"/>
  <c r="I14" i="2"/>
  <c r="I12" i="2" s="1"/>
  <c r="K14" i="2"/>
  <c r="G14" i="2"/>
  <c r="G12" i="2" s="1"/>
  <c r="G145" i="2"/>
  <c r="H15" i="2"/>
  <c r="K12" i="2" l="1"/>
  <c r="F13" i="2"/>
  <c r="F15" i="2"/>
  <c r="F14" i="2"/>
  <c r="F145" i="2"/>
  <c r="F12" i="2" l="1"/>
  <c r="U56" i="1" l="1"/>
  <c r="S19" i="1" l="1"/>
  <c r="U111" i="1" l="1"/>
  <c r="S95" i="1" l="1"/>
  <c r="S94" i="1"/>
  <c r="S93" i="1" l="1"/>
  <c r="S88" i="1" l="1"/>
  <c r="S76" i="1" l="1"/>
  <c r="S77" i="1" s="1"/>
  <c r="S72" i="1"/>
  <c r="S71" i="1"/>
  <c r="S20" i="1"/>
  <c r="S16" i="1"/>
  <c r="R16" i="1" l="1"/>
  <c r="Q38" i="1" l="1"/>
  <c r="R20" i="1" l="1"/>
  <c r="R15" i="1" l="1"/>
  <c r="W14" i="1" l="1"/>
  <c r="X14" i="1" s="1"/>
  <c r="Y14" i="1" s="1"/>
  <c r="R71" i="1" l="1"/>
  <c r="R112" i="1"/>
  <c r="R110" i="1"/>
  <c r="R97" i="1"/>
  <c r="R98" i="1" s="1"/>
  <c r="R99" i="1" s="1"/>
  <c r="R92" i="1"/>
  <c r="R90" i="1"/>
  <c r="R89" i="1"/>
  <c r="R87" i="1"/>
  <c r="R86" i="1"/>
  <c r="R85" i="1"/>
  <c r="R84" i="1"/>
  <c r="R83" i="1"/>
  <c r="R82" i="1"/>
  <c r="R81" i="1"/>
  <c r="R80" i="1"/>
  <c r="R78" i="1"/>
  <c r="R76" i="1"/>
  <c r="R77" i="1" s="1"/>
  <c r="R73" i="1"/>
  <c r="R72" i="1"/>
  <c r="R55" i="1"/>
  <c r="R51" i="1"/>
  <c r="R46" i="1"/>
  <c r="R45" i="1"/>
  <c r="R41" i="1"/>
  <c r="R40" i="1"/>
  <c r="R37" i="1"/>
  <c r="R36" i="1"/>
  <c r="R56" i="1" s="1"/>
  <c r="R28" i="1"/>
  <c r="R21" i="1"/>
  <c r="R19" i="1"/>
  <c r="R8" i="1"/>
  <c r="R44" i="1" l="1"/>
  <c r="R59" i="1"/>
  <c r="R35" i="1"/>
  <c r="R62" i="1"/>
  <c r="R61" i="1"/>
  <c r="R34" i="1"/>
  <c r="R58" i="1"/>
  <c r="R63" i="1"/>
  <c r="Q95" i="1" l="1"/>
  <c r="Q94" i="1"/>
  <c r="Q93" i="1"/>
  <c r="Q92" i="1"/>
  <c r="S51" i="1" l="1"/>
  <c r="W110" i="1" l="1"/>
  <c r="Q72" i="1" l="1"/>
  <c r="W45" i="1"/>
  <c r="S41" i="1"/>
  <c r="S40" i="1"/>
  <c r="Q16" i="1"/>
  <c r="Z72" i="1" l="1"/>
  <c r="V110" i="1" l="1"/>
  <c r="U110" i="1"/>
  <c r="S110" i="1"/>
  <c r="V45" i="1" l="1"/>
  <c r="P95" i="1" l="1"/>
  <c r="P94" i="1"/>
  <c r="P93" i="1"/>
  <c r="P92" i="1"/>
  <c r="P91" i="1"/>
  <c r="P90" i="1"/>
  <c r="P89" i="1"/>
  <c r="P88" i="1"/>
  <c r="P87" i="1"/>
  <c r="P86" i="1"/>
  <c r="P84" i="1"/>
  <c r="P85" i="1" s="1"/>
  <c r="P83" i="1"/>
  <c r="P82" i="1"/>
  <c r="P81" i="1"/>
  <c r="P80" i="1"/>
  <c r="P78" i="1"/>
  <c r="P72" i="1" l="1"/>
  <c r="P16" i="1" l="1"/>
  <c r="P15" i="1"/>
  <c r="W11" i="1"/>
  <c r="Q112" i="1" l="1"/>
  <c r="Q98" i="1"/>
  <c r="Q99" i="1" s="1"/>
  <c r="Q76" i="1"/>
  <c r="Q77" i="1" s="1"/>
  <c r="Q73" i="1"/>
  <c r="Q46" i="1"/>
  <c r="Q44" i="1"/>
  <c r="Q35" i="1"/>
  <c r="Q21" i="1"/>
  <c r="Q55" i="1"/>
  <c r="Q8" i="1"/>
  <c r="Q34" i="1" l="1"/>
  <c r="Q61" i="1"/>
  <c r="Q56" i="1"/>
  <c r="Q62" i="1"/>
  <c r="Q58" i="1"/>
  <c r="Q63" i="1"/>
  <c r="Q59" i="1"/>
  <c r="U45" i="1" l="1"/>
  <c r="S45" i="1"/>
  <c r="P76" i="1" l="1"/>
  <c r="P77" i="1" s="1"/>
  <c r="P12" i="1"/>
  <c r="O87" i="1" l="1"/>
  <c r="O76" i="1"/>
  <c r="O20" i="1"/>
  <c r="O77" i="1" l="1"/>
  <c r="O72" i="1"/>
  <c r="O16" i="1"/>
  <c r="P21" i="1" l="1"/>
  <c r="N88" i="1" l="1"/>
  <c r="O15" i="1" l="1"/>
  <c r="P14" i="1"/>
  <c r="P19" i="1" l="1"/>
  <c r="N95" i="1" l="1"/>
  <c r="N94" i="1"/>
  <c r="N93" i="1"/>
  <c r="N92" i="1"/>
  <c r="N91" i="1"/>
  <c r="N90" i="1"/>
  <c r="N89" i="1"/>
  <c r="N87" i="1"/>
  <c r="N86" i="1"/>
  <c r="N85" i="1"/>
  <c r="N84" i="1"/>
  <c r="N83" i="1"/>
  <c r="N82" i="1"/>
  <c r="N81" i="1"/>
  <c r="N80" i="1"/>
  <c r="N76" i="1" l="1"/>
  <c r="N77" i="1" s="1"/>
  <c r="N78" i="1" l="1"/>
  <c r="N72" i="1" l="1"/>
  <c r="N20" i="1"/>
  <c r="N16" i="1"/>
  <c r="N14" i="1"/>
  <c r="N112" i="1"/>
  <c r="N73" i="1"/>
  <c r="N56" i="1"/>
  <c r="N55" i="1"/>
  <c r="N45" i="1"/>
  <c r="N44" i="1" s="1"/>
  <c r="N41" i="1"/>
  <c r="N40" i="1"/>
  <c r="N37" i="1"/>
  <c r="N28" i="1"/>
  <c r="N21" i="1"/>
  <c r="N15" i="1"/>
  <c r="N8" i="1"/>
  <c r="N62" i="1" s="1"/>
  <c r="N61" i="1" l="1"/>
  <c r="N35" i="1"/>
  <c r="N58" i="1"/>
  <c r="N63" i="1"/>
  <c r="N59" i="1"/>
  <c r="N34" i="1"/>
  <c r="P110" i="1" l="1"/>
  <c r="O40" i="1" l="1"/>
  <c r="AA112" i="1" l="1"/>
  <c r="Z112" i="1"/>
  <c r="Y112" i="1"/>
  <c r="X112" i="1"/>
  <c r="W112" i="1"/>
  <c r="V112" i="1"/>
  <c r="U112" i="1"/>
  <c r="S112" i="1"/>
  <c r="P112" i="1"/>
  <c r="O112" i="1"/>
  <c r="M112" i="1"/>
  <c r="L112" i="1"/>
  <c r="K112" i="1"/>
  <c r="J112" i="1"/>
  <c r="L99" i="1"/>
  <c r="I99" i="1"/>
  <c r="H99" i="1"/>
  <c r="G99" i="1"/>
  <c r="F99" i="1"/>
  <c r="P98" i="1"/>
  <c r="P99" i="1" s="1"/>
  <c r="J98" i="1"/>
  <c r="I98" i="1"/>
  <c r="H98" i="1"/>
  <c r="G98" i="1"/>
  <c r="F98" i="1"/>
  <c r="I97" i="1"/>
  <c r="H97" i="1"/>
  <c r="G97" i="1"/>
  <c r="F97" i="1"/>
  <c r="J96" i="1"/>
  <c r="I96" i="1"/>
  <c r="H96" i="1"/>
  <c r="G96" i="1"/>
  <c r="F96" i="1"/>
  <c r="M95" i="1"/>
  <c r="I95" i="1"/>
  <c r="H95" i="1"/>
  <c r="G95" i="1"/>
  <c r="F95" i="1"/>
  <c r="S97" i="1"/>
  <c r="S98" i="1" s="1"/>
  <c r="S99" i="1" s="1"/>
  <c r="M94" i="1"/>
  <c r="J94" i="1"/>
  <c r="I94" i="1"/>
  <c r="H94" i="1"/>
  <c r="G94" i="1"/>
  <c r="F94" i="1"/>
  <c r="U97" i="1"/>
  <c r="U98" i="1" s="1"/>
  <c r="U99" i="1" s="1"/>
  <c r="I93" i="1"/>
  <c r="H93" i="1"/>
  <c r="G93" i="1"/>
  <c r="F93" i="1"/>
  <c r="J92" i="1"/>
  <c r="I92" i="1"/>
  <c r="H92" i="1"/>
  <c r="G92" i="1"/>
  <c r="F92" i="1"/>
  <c r="AA91" i="1"/>
  <c r="AA92" i="1" s="1"/>
  <c r="AA93" i="1" s="1"/>
  <c r="AA94" i="1" s="1"/>
  <c r="AA95" i="1" s="1"/>
  <c r="AA96" i="1" s="1"/>
  <c r="AA97" i="1" s="1"/>
  <c r="AA98" i="1" s="1"/>
  <c r="AA99" i="1" s="1"/>
  <c r="Z91" i="1"/>
  <c r="Z92" i="1" s="1"/>
  <c r="Z93" i="1" s="1"/>
  <c r="Z94" i="1" s="1"/>
  <c r="Z95" i="1" s="1"/>
  <c r="Z96" i="1" s="1"/>
  <c r="Z97" i="1" s="1"/>
  <c r="Z98" i="1" s="1"/>
  <c r="Z99" i="1" s="1"/>
  <c r="Y91" i="1"/>
  <c r="Y92" i="1" s="1"/>
  <c r="Y93" i="1" s="1"/>
  <c r="Y94" i="1" s="1"/>
  <c r="Y95" i="1" s="1"/>
  <c r="Y96" i="1" s="1"/>
  <c r="Y97" i="1" s="1"/>
  <c r="Y98" i="1" s="1"/>
  <c r="Y99" i="1" s="1"/>
  <c r="X95" i="1"/>
  <c r="X98" i="1" s="1"/>
  <c r="X99" i="1" s="1"/>
  <c r="W97" i="1"/>
  <c r="W98" i="1" s="1"/>
  <c r="W99" i="1" s="1"/>
  <c r="V97" i="1"/>
  <c r="V98" i="1" s="1"/>
  <c r="V99" i="1" s="1"/>
  <c r="M91" i="1"/>
  <c r="J91" i="1"/>
  <c r="I91" i="1"/>
  <c r="H91" i="1"/>
  <c r="G91" i="1"/>
  <c r="F91" i="1"/>
  <c r="I90" i="1"/>
  <c r="H90" i="1"/>
  <c r="G90" i="1"/>
  <c r="F90" i="1"/>
  <c r="M89" i="1"/>
  <c r="J89" i="1"/>
  <c r="I89" i="1"/>
  <c r="H89" i="1"/>
  <c r="G89" i="1"/>
  <c r="F89" i="1"/>
  <c r="AA88" i="1"/>
  <c r="Z88" i="1"/>
  <c r="Y88" i="1"/>
  <c r="I88" i="1"/>
  <c r="H88" i="1"/>
  <c r="G88" i="1"/>
  <c r="F88" i="1"/>
  <c r="J87" i="1"/>
  <c r="J88" i="1" s="1"/>
  <c r="I87" i="1"/>
  <c r="H87" i="1"/>
  <c r="G87" i="1"/>
  <c r="F87" i="1"/>
  <c r="J86" i="1"/>
  <c r="I86" i="1"/>
  <c r="H86" i="1"/>
  <c r="G86" i="1"/>
  <c r="F86" i="1"/>
  <c r="AA85" i="1"/>
  <c r="Z85" i="1"/>
  <c r="Y85" i="1"/>
  <c r="L85" i="1"/>
  <c r="I85" i="1"/>
  <c r="H85" i="1"/>
  <c r="G85" i="1"/>
  <c r="F85" i="1"/>
  <c r="L84" i="1"/>
  <c r="J84" i="1"/>
  <c r="J85" i="1" s="1"/>
  <c r="I84" i="1"/>
  <c r="H84" i="1"/>
  <c r="G84" i="1"/>
  <c r="F84" i="1"/>
  <c r="L83" i="1"/>
  <c r="J83" i="1"/>
  <c r="I83" i="1"/>
  <c r="H83" i="1"/>
  <c r="G83" i="1"/>
  <c r="F83" i="1"/>
  <c r="I82" i="1"/>
  <c r="H82" i="1"/>
  <c r="G82" i="1"/>
  <c r="F82" i="1"/>
  <c r="J81" i="1"/>
  <c r="J82" i="1" s="1"/>
  <c r="I81" i="1"/>
  <c r="H81" i="1"/>
  <c r="G81" i="1"/>
  <c r="F81" i="1"/>
  <c r="J80" i="1"/>
  <c r="I80" i="1"/>
  <c r="H80" i="1"/>
  <c r="G80" i="1"/>
  <c r="F80" i="1"/>
  <c r="L78" i="1"/>
  <c r="K77" i="1"/>
  <c r="K76" i="1" s="1"/>
  <c r="L76" i="1"/>
  <c r="L77" i="1" s="1"/>
  <c r="J76" i="1"/>
  <c r="J77" i="1" s="1"/>
  <c r="M75" i="1"/>
  <c r="M73" i="1" s="1"/>
  <c r="I75" i="1"/>
  <c r="H75" i="1"/>
  <c r="G75" i="1"/>
  <c r="I74" i="1"/>
  <c r="H74" i="1"/>
  <c r="G74" i="1"/>
  <c r="AA73" i="1"/>
  <c r="Z73" i="1"/>
  <c r="Y73" i="1"/>
  <c r="X73" i="1"/>
  <c r="W73" i="1"/>
  <c r="V73" i="1"/>
  <c r="U73" i="1"/>
  <c r="S73" i="1"/>
  <c r="P73" i="1"/>
  <c r="O73" i="1"/>
  <c r="L73" i="1"/>
  <c r="K73" i="1"/>
  <c r="J73" i="1"/>
  <c r="I73" i="1"/>
  <c r="H73" i="1"/>
  <c r="G73" i="1"/>
  <c r="AA72" i="1"/>
  <c r="L72" i="1"/>
  <c r="J72" i="1"/>
  <c r="Z71" i="1"/>
  <c r="AA71" i="1" s="1"/>
  <c r="I71" i="1"/>
  <c r="H71" i="1"/>
  <c r="G71" i="1"/>
  <c r="F71" i="1"/>
  <c r="W56" i="1"/>
  <c r="V56" i="1"/>
  <c r="S56" i="1"/>
  <c r="P56" i="1"/>
  <c r="O56" i="1"/>
  <c r="M56" i="1"/>
  <c r="L56" i="1"/>
  <c r="K56" i="1"/>
  <c r="J56" i="1"/>
  <c r="I56" i="1"/>
  <c r="H56" i="1"/>
  <c r="G56" i="1"/>
  <c r="F56" i="1"/>
  <c r="W55" i="1"/>
  <c r="V55" i="1"/>
  <c r="U55" i="1"/>
  <c r="S55" i="1"/>
  <c r="P55" i="1"/>
  <c r="O55" i="1"/>
  <c r="M55" i="1"/>
  <c r="L55" i="1"/>
  <c r="K55" i="1"/>
  <c r="J55" i="1"/>
  <c r="I55" i="1"/>
  <c r="H55" i="1"/>
  <c r="G55" i="1"/>
  <c r="F55" i="1"/>
  <c r="AA46" i="1"/>
  <c r="Z46" i="1"/>
  <c r="Y46" i="1"/>
  <c r="X46" i="1"/>
  <c r="W46" i="1"/>
  <c r="V46" i="1"/>
  <c r="U46" i="1"/>
  <c r="S46" i="1"/>
  <c r="P46" i="1"/>
  <c r="M46" i="1"/>
  <c r="L46" i="1"/>
  <c r="O45" i="1"/>
  <c r="O44" i="1" s="1"/>
  <c r="AA44" i="1"/>
  <c r="Z44" i="1"/>
  <c r="Y44" i="1"/>
  <c r="X44" i="1"/>
  <c r="W44" i="1"/>
  <c r="V44" i="1"/>
  <c r="U44" i="1"/>
  <c r="S44" i="1"/>
  <c r="P44" i="1"/>
  <c r="M44" i="1"/>
  <c r="L44" i="1"/>
  <c r="K44" i="1"/>
  <c r="J44" i="1"/>
  <c r="I44" i="1"/>
  <c r="H44" i="1"/>
  <c r="G44" i="1"/>
  <c r="F44" i="1"/>
  <c r="M41" i="1"/>
  <c r="L41" i="1"/>
  <c r="M40" i="1"/>
  <c r="M35" i="1" s="1"/>
  <c r="L40" i="1"/>
  <c r="L35" i="1" s="1"/>
  <c r="O37" i="1"/>
  <c r="L37" i="1"/>
  <c r="J37" i="1"/>
  <c r="AA35" i="1"/>
  <c r="Z35" i="1"/>
  <c r="Y35" i="1"/>
  <c r="X35" i="1"/>
  <c r="W35" i="1"/>
  <c r="V35" i="1"/>
  <c r="U35" i="1"/>
  <c r="S35" i="1"/>
  <c r="P35" i="1"/>
  <c r="O35" i="1"/>
  <c r="K35" i="1"/>
  <c r="J35" i="1"/>
  <c r="I35" i="1"/>
  <c r="H35" i="1"/>
  <c r="G35" i="1"/>
  <c r="F35" i="1"/>
  <c r="AA28" i="1"/>
  <c r="Z28" i="1"/>
  <c r="Y28" i="1"/>
  <c r="X28" i="1"/>
  <c r="W28" i="1"/>
  <c r="S28" i="1"/>
  <c r="P28" i="1"/>
  <c r="O28" i="1"/>
  <c r="M28" i="1"/>
  <c r="L28" i="1"/>
  <c r="J28" i="1"/>
  <c r="L24" i="1"/>
  <c r="AA21" i="1"/>
  <c r="Z21" i="1"/>
  <c r="Y21" i="1"/>
  <c r="X21" i="1"/>
  <c r="W21" i="1"/>
  <c r="V21" i="1"/>
  <c r="U21" i="1"/>
  <c r="S21" i="1"/>
  <c r="O21" i="1"/>
  <c r="M21" i="1"/>
  <c r="L21" i="1"/>
  <c r="K21" i="1"/>
  <c r="J21" i="1"/>
  <c r="I21" i="1"/>
  <c r="H21" i="1"/>
  <c r="G21" i="1"/>
  <c r="F21" i="1"/>
  <c r="M20" i="1"/>
  <c r="L20" i="1"/>
  <c r="K20" i="1"/>
  <c r="J20" i="1"/>
  <c r="H20" i="1"/>
  <c r="J19" i="1"/>
  <c r="Z16" i="1"/>
  <c r="AA16" i="1" s="1"/>
  <c r="M16" i="1"/>
  <c r="L16" i="1"/>
  <c r="K16" i="1"/>
  <c r="J16" i="1"/>
  <c r="AA15" i="1"/>
  <c r="M15" i="1"/>
  <c r="L15" i="1"/>
  <c r="K15" i="1"/>
  <c r="J15" i="1"/>
  <c r="H15" i="1"/>
  <c r="G15" i="1"/>
  <c r="F15" i="1"/>
  <c r="Z14" i="1"/>
  <c r="AA14" i="1" s="1"/>
  <c r="L14" i="1"/>
  <c r="Z13" i="1"/>
  <c r="AA13" i="1" s="1"/>
  <c r="X12" i="1"/>
  <c r="Y12" i="1" s="1"/>
  <c r="Z12" i="1" s="1"/>
  <c r="AA12" i="1" s="1"/>
  <c r="X11" i="1"/>
  <c r="Y11" i="1" s="1"/>
  <c r="Z11" i="1" s="1"/>
  <c r="AA11" i="1" s="1"/>
  <c r="W8" i="1"/>
  <c r="W63" i="1" s="1"/>
  <c r="V8" i="1"/>
  <c r="V62" i="1" s="1"/>
  <c r="U8" i="1"/>
  <c r="U63" i="1" s="1"/>
  <c r="S8" i="1"/>
  <c r="P8" i="1"/>
  <c r="P62" i="1" s="1"/>
  <c r="O8" i="1"/>
  <c r="O62" i="1" s="1"/>
  <c r="M8" i="1"/>
  <c r="M63" i="1" s="1"/>
  <c r="L8" i="1"/>
  <c r="K8" i="1"/>
  <c r="K63" i="1" s="1"/>
  <c r="J8" i="1"/>
  <c r="J63" i="1" s="1"/>
  <c r="I8" i="1"/>
  <c r="H8" i="1"/>
  <c r="G8" i="1"/>
  <c r="G63" i="1" s="1"/>
  <c r="F8" i="1"/>
  <c r="F63" i="1" s="1"/>
  <c r="U64" i="1" l="1"/>
  <c r="T64" i="1"/>
  <c r="T66" i="1" s="1"/>
  <c r="M34" i="1"/>
  <c r="M59" i="1"/>
  <c r="I34" i="1"/>
  <c r="M61" i="1"/>
  <c r="M76" i="1"/>
  <c r="M77" i="1" s="1"/>
  <c r="M62" i="1"/>
  <c r="M58" i="1"/>
  <c r="H34" i="1"/>
  <c r="L34" i="1"/>
  <c r="S59" i="1"/>
  <c r="M52" i="1"/>
  <c r="N52" i="1" s="1"/>
  <c r="F34" i="1"/>
  <c r="J34" i="1"/>
  <c r="H58" i="1"/>
  <c r="L58" i="1"/>
  <c r="H59" i="1"/>
  <c r="L59" i="1"/>
  <c r="H61" i="1"/>
  <c r="L61" i="1"/>
  <c r="H62" i="1"/>
  <c r="L62" i="1"/>
  <c r="H63" i="1"/>
  <c r="J64" i="1" s="1"/>
  <c r="L63" i="1"/>
  <c r="G34" i="1"/>
  <c r="K34" i="1"/>
  <c r="I58" i="1"/>
  <c r="I59" i="1"/>
  <c r="I61" i="1"/>
  <c r="I62" i="1"/>
  <c r="I63" i="1"/>
  <c r="J65" i="1" s="1"/>
  <c r="F58" i="1"/>
  <c r="J58" i="1"/>
  <c r="F59" i="1"/>
  <c r="J59" i="1"/>
  <c r="F61" i="1"/>
  <c r="J61" i="1"/>
  <c r="F62" i="1"/>
  <c r="J62" i="1"/>
  <c r="G58" i="1"/>
  <c r="K58" i="1"/>
  <c r="G59" i="1"/>
  <c r="K59" i="1"/>
  <c r="G61" i="1"/>
  <c r="K61" i="1"/>
  <c r="G62" i="1"/>
  <c r="K62" i="1"/>
  <c r="P65" i="1" s="1"/>
  <c r="X8" i="1"/>
  <c r="X34" i="1" s="1"/>
  <c r="X68" i="1" s="1"/>
  <c r="X69" i="1" s="1"/>
  <c r="W59" i="1"/>
  <c r="X55" i="1"/>
  <c r="W61" i="1"/>
  <c r="W62" i="1"/>
  <c r="X64" i="1" s="1"/>
  <c r="W34" i="1"/>
  <c r="X56" i="1"/>
  <c r="W58" i="1"/>
  <c r="V58" i="1"/>
  <c r="V61" i="1"/>
  <c r="V63" i="1"/>
  <c r="V34" i="1"/>
  <c r="V59" i="1"/>
  <c r="U62" i="1"/>
  <c r="U34" i="1"/>
  <c r="U61" i="1"/>
  <c r="U59" i="1"/>
  <c r="U58" i="1"/>
  <c r="S58" i="1"/>
  <c r="S61" i="1"/>
  <c r="S62" i="1"/>
  <c r="V64" i="1" s="1"/>
  <c r="S63" i="1"/>
  <c r="S34" i="1"/>
  <c r="P58" i="1"/>
  <c r="P63" i="1"/>
  <c r="P59" i="1"/>
  <c r="P61" i="1"/>
  <c r="P34" i="1"/>
  <c r="O34" i="1"/>
  <c r="O58" i="1"/>
  <c r="O61" i="1"/>
  <c r="O63" i="1"/>
  <c r="O59" i="1"/>
  <c r="W64" i="1" l="1"/>
  <c r="T65" i="1"/>
  <c r="T67" i="1" s="1"/>
  <c r="R64" i="1"/>
  <c r="R66" i="1" s="1"/>
  <c r="R65" i="1"/>
  <c r="R67" i="1" s="1"/>
  <c r="W66" i="1"/>
  <c r="V66" i="1"/>
  <c r="U65" i="1"/>
  <c r="U67" i="1" s="1"/>
  <c r="P64" i="1"/>
  <c r="P66" i="1" s="1"/>
  <c r="Q65" i="1"/>
  <c r="Q67" i="1" s="1"/>
  <c r="Q64" i="1"/>
  <c r="Q66" i="1" s="1"/>
  <c r="S65" i="1"/>
  <c r="S67" i="1" s="1"/>
  <c r="S64" i="1"/>
  <c r="S66" i="1" s="1"/>
  <c r="X65" i="1"/>
  <c r="V65" i="1"/>
  <c r="V67" i="1" s="1"/>
  <c r="U66" i="1"/>
  <c r="W65" i="1"/>
  <c r="W67" i="1" s="1"/>
  <c r="O52" i="1"/>
  <c r="Q52" i="1" s="1"/>
  <c r="N65" i="1"/>
  <c r="N67" i="1" s="1"/>
  <c r="N64" i="1"/>
  <c r="N66" i="1" s="1"/>
  <c r="X61" i="1"/>
  <c r="X63" i="1"/>
  <c r="X59" i="1"/>
  <c r="X58" i="1"/>
  <c r="K65" i="1"/>
  <c r="K64" i="1"/>
  <c r="M65" i="1"/>
  <c r="M67" i="1" s="1"/>
  <c r="L65" i="1"/>
  <c r="L67" i="1" s="1"/>
  <c r="M64" i="1"/>
  <c r="M66" i="1" s="1"/>
  <c r="L64" i="1"/>
  <c r="L66" i="1" s="1"/>
  <c r="O65" i="1"/>
  <c r="O67" i="1" s="1"/>
  <c r="O64" i="1"/>
  <c r="O66" i="1" s="1"/>
  <c r="K67" i="1"/>
  <c r="K66" i="1"/>
  <c r="J67" i="1"/>
  <c r="J66" i="1"/>
  <c r="X62" i="1"/>
  <c r="Y65" i="1" s="1"/>
  <c r="Y8" i="1"/>
  <c r="Y63" i="1" s="1"/>
  <c r="Y55" i="1"/>
  <c r="Y56" i="1"/>
  <c r="P67" i="1"/>
  <c r="S52" i="1" l="1"/>
  <c r="T52" i="1" s="1"/>
  <c r="R52" i="1"/>
  <c r="P52" i="1"/>
  <c r="U52" i="1"/>
  <c r="V52" i="1" s="1"/>
  <c r="W52" i="1" s="1"/>
  <c r="X52" i="1" s="1"/>
  <c r="Y52" i="1" s="1"/>
  <c r="Z52" i="1" s="1"/>
  <c r="AA52" i="1" s="1"/>
  <c r="X66" i="1"/>
  <c r="X67" i="1"/>
  <c r="Y62" i="1"/>
  <c r="Z65" i="1" s="1"/>
  <c r="Y64" i="1"/>
  <c r="Z55" i="1"/>
  <c r="AA9" i="1"/>
  <c r="Z8" i="1"/>
  <c r="Z62" i="1" s="1"/>
  <c r="Z56" i="1"/>
  <c r="Y61" i="1"/>
  <c r="Y59" i="1"/>
  <c r="Y58" i="1"/>
  <c r="Y34" i="1"/>
  <c r="Y68" i="1" s="1"/>
  <c r="Y69" i="1" s="1"/>
  <c r="Z64" i="1" l="1"/>
  <c r="Z63" i="1"/>
  <c r="AA64" i="1"/>
  <c r="Z59" i="1"/>
  <c r="Z58" i="1"/>
  <c r="Z34" i="1"/>
  <c r="Z68" i="1" s="1"/>
  <c r="Z69" i="1" s="1"/>
  <c r="Z61" i="1"/>
  <c r="AA65" i="1"/>
  <c r="Y67" i="1"/>
  <c r="Y66" i="1"/>
  <c r="AA56" i="1"/>
  <c r="AA8" i="1"/>
  <c r="AA63" i="1" s="1"/>
  <c r="AA55" i="1"/>
  <c r="Z66" i="1" l="1"/>
  <c r="Z67" i="1"/>
  <c r="AA58" i="1"/>
  <c r="AA34" i="1"/>
  <c r="AA68" i="1" s="1"/>
  <c r="AA69" i="1" s="1"/>
  <c r="AA61" i="1"/>
  <c r="AA59" i="1"/>
  <c r="AA62" i="1"/>
  <c r="AA66" i="1" l="1"/>
  <c r="AA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hwicik</author>
    <author>Renata Forysiuk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nie ujmować § 2680 rekompensaty utraconych dochodów (7510zł)</t>
        </r>
      </text>
    </comment>
    <comment ref="B7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bieżące+majątkowe (75022+75023)</t>
        </r>
      </text>
    </comment>
    <comment ref="L76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bez basenu, ZS 12, ul. Wolności i ul. Świerklańskiej, sala gimnast. ZS 9, sp 1 dla PP7, monitoringu, placu A. Bożka
</t>
        </r>
      </text>
    </comment>
    <comment ref="M7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bez basenu, ZS 12, ul. Wolności i ul. Świerklańskiej, sala gimnast. ZS 9, sp 1 dla PP7, monitoringu, placu A. Bożka
</t>
        </r>
      </text>
    </comment>
    <comment ref="N76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kwota 9 259 661 zł to środki na zwrot dofinansowania od Marszałka z DGP</t>
        </r>
      </text>
    </comment>
    <comment ref="B8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należy dodać zad. Unijne nie będące PW
</t>
        </r>
      </text>
    </comment>
    <comment ref="B92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bieżące + majątkowe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Forysiuk</author>
  </authors>
  <commentList>
    <comment ref="G15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w tym 2 117 850 zł Mienie za wykup gruntów</t>
        </r>
      </text>
    </comment>
    <comment ref="G184" authorId="0" shapeId="0" xr:uid="{0D539B90-E70A-4D38-8CAD-B5D639515033}">
      <text>
        <r>
          <rPr>
            <sz val="9"/>
            <color indexed="81"/>
            <rFont val="Tahoma"/>
            <family val="2"/>
            <charset val="238"/>
          </rPr>
          <t xml:space="preserve">w 2017 r. dotacja z KST 115 447 zł
</t>
        </r>
      </text>
    </comment>
    <comment ref="G264" authorId="0" shapeId="0" xr:uid="{375FFE57-960C-404D-9446-EC1BE77BA536}">
      <text>
        <r>
          <rPr>
            <sz val="9"/>
            <color indexed="81"/>
            <rFont val="Tahoma"/>
            <family val="2"/>
            <charset val="238"/>
          </rPr>
          <t xml:space="preserve">SP 6: 11 000 zl
(ustalono z IKI):
wrzosowa: 8 000 zl
Przyjaźń: 27 100
Klubowa-Gagarina: 
16 000 zł
</t>
        </r>
      </text>
    </comment>
  </commentList>
</comments>
</file>

<file path=xl/sharedStrings.xml><?xml version="1.0" encoding="utf-8"?>
<sst xmlns="http://schemas.openxmlformats.org/spreadsheetml/2006/main" count="779" uniqueCount="621">
  <si>
    <t>Wyszczególnienie</t>
  </si>
  <si>
    <t>1.1.</t>
  </si>
  <si>
    <t>w tym:</t>
  </si>
  <si>
    <t>1.1.1.</t>
  </si>
  <si>
    <t>dochody z tytułu udziału we wpływach z podatku dochodowego od osób fizycznych</t>
  </si>
  <si>
    <t>1.1.2.</t>
  </si>
  <si>
    <t>dochody z tytułu udziału we wpływach z podatku dochodowego od osób prawnych</t>
  </si>
  <si>
    <t>1.1.3.</t>
  </si>
  <si>
    <t>1.1.3.1.</t>
  </si>
  <si>
    <t>z podatku od nieruchomości</t>
  </si>
  <si>
    <t>1.1.4.</t>
  </si>
  <si>
    <t>z subwencji ogólnej</t>
  </si>
  <si>
    <t>1.1.5.</t>
  </si>
  <si>
    <t>z tytułu dotacji i środków przeznaczonych na cele bieżące</t>
  </si>
  <si>
    <t>1.2.</t>
  </si>
  <si>
    <t>1.2.1.</t>
  </si>
  <si>
    <t>1.2.2</t>
  </si>
  <si>
    <t>z tytułu dotacji oraz środków przeznaczonych na inwestycje</t>
  </si>
  <si>
    <t>2.1.</t>
  </si>
  <si>
    <t>2.1.1.</t>
  </si>
  <si>
    <t>2.1.1.1.</t>
  </si>
  <si>
    <t>2.1.2.</t>
  </si>
  <si>
    <t>2.1.3.</t>
  </si>
  <si>
    <t>2.1.3.1</t>
  </si>
  <si>
    <t>2.2.</t>
  </si>
  <si>
    <t>4.1.</t>
  </si>
  <si>
    <t>4.1.1.</t>
  </si>
  <si>
    <t>4.2.</t>
  </si>
  <si>
    <t>4.2.1.</t>
  </si>
  <si>
    <t>4.3.</t>
  </si>
  <si>
    <t>4.3.1.</t>
  </si>
  <si>
    <t>4.4.</t>
  </si>
  <si>
    <t>4.4.1.</t>
  </si>
  <si>
    <t>5.1.1.</t>
  </si>
  <si>
    <t>5.1.1.1.</t>
  </si>
  <si>
    <t>7. Kwota zobowiązań wynikających z przejęcia przez jednostkę samorządu terytorialnego zobowiązań po likwidowanych i przekształcanych jednostkach zaliczanych do sektora finansów publicznych</t>
  </si>
  <si>
    <t>8. Relacja zrównoważenia wydatków bieżących, o której mowa w art. 242 ustawy</t>
  </si>
  <si>
    <t>9.3.</t>
  </si>
  <si>
    <t>9.4.</t>
  </si>
  <si>
    <t>9.5.</t>
  </si>
  <si>
    <t>9.6.</t>
  </si>
  <si>
    <t>9.7.</t>
  </si>
  <si>
    <t>9.7.1.</t>
  </si>
  <si>
    <t>11.1.</t>
  </si>
  <si>
    <t>Wydatki bieżące na wynagrodzenia i składki od nich naliczane</t>
  </si>
  <si>
    <t>11.2</t>
  </si>
  <si>
    <t>11.3.</t>
  </si>
  <si>
    <t>11.3.1.</t>
  </si>
  <si>
    <t>bieżące</t>
  </si>
  <si>
    <t>11.3.2.</t>
  </si>
  <si>
    <t>majątkowe</t>
  </si>
  <si>
    <t>11.4.</t>
  </si>
  <si>
    <t>11.5.</t>
  </si>
  <si>
    <t>11.6.</t>
  </si>
  <si>
    <t>Wydatki majątkowe w formie dotacji</t>
  </si>
  <si>
    <t>12.</t>
  </si>
  <si>
    <t>12.1.</t>
  </si>
  <si>
    <t>Dochody bieżące na programy, projekty lub zadania finansowane z udziałem środków, o których mowa w art. 5 ust. 1 pkt 2 i 3 ustawy</t>
  </si>
  <si>
    <t>12.1.1</t>
  </si>
  <si>
    <t>- w tym środki określone w art. 5 ust. 1 pkt 2 ustawy</t>
  </si>
  <si>
    <t>12.1.1.1</t>
  </si>
  <si>
    <t>- w tym środki określone w art. 5 ust. 1 pkt 2 ustawy wynikające wyłącznie z zawartych umów na realizację programu, projektu lub zadania</t>
  </si>
  <si>
    <t>12.2.</t>
  </si>
  <si>
    <t>Dochody majątkowe na programy, projekty lub zadania finansowane z udziałem środków, o których mowa w art. 5 ust. 1 pkt 2 i 3 ustawy</t>
  </si>
  <si>
    <t>12.2.1.</t>
  </si>
  <si>
    <t>12.2.1.1</t>
  </si>
  <si>
    <t>- w tym środki określone w art. 5 ust. 1 pkt 2 ustawy wynikające wyłącznie z zawartych umów na realizacje programu, projektu lub zadania</t>
  </si>
  <si>
    <t>12.3</t>
  </si>
  <si>
    <t>Wydatki bieżące na programy, projekty lub zadania finansowane z udziałem środków, o których mowa w art. 5 ust. 1 pkt 2 i 3 ustawy</t>
  </si>
  <si>
    <t>12.3.1.</t>
  </si>
  <si>
    <t>- 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</si>
  <si>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</si>
  <si>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</si>
  <si>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12.4.</t>
  </si>
  <si>
    <t>Wydatki majątkowe na programy, projekty lub zadania finansowane z udziałem środków, o których mowa w art. 5 ust. 1 pkt 2 i 3 ustawy</t>
  </si>
  <si>
    <t>12.4.1</t>
  </si>
  <si>
    <t>12.4.2.</t>
  </si>
  <si>
    <t>Wydatki majątkowe na realizację programu, projektu lub zadania wynikające wyłącznie z zawartych umów z podmiotem dysponującym środkami, o których mowa w art. 5 ust. 1 pkt 2 ustawy</t>
  </si>
  <si>
    <t>13. Kwoty dotyczące przejęcia i spłaty zobowiązań po samodzielnych publicznych zakładach opieki zdrowotnej oraz pokrycia ujemnego wyniku</t>
  </si>
  <si>
    <t>13.1.</t>
  </si>
  <si>
    <t>Kwota zobowiązań wynikających z przejęcia przez jednostkę samorządu terytorialnego zobowiązań po likwidowanych i przekształcanych samodzielnych zakładach opieki zdrowotnej</t>
  </si>
  <si>
    <t>13.2.</t>
  </si>
  <si>
    <t>13.3.</t>
  </si>
  <si>
    <t>Wysokość zobowiązań podlegających umorzeniu, o którym mowa w art. 190 ustawy o działalności leczniczej</t>
  </si>
  <si>
    <t>13.4.</t>
  </si>
  <si>
    <t>Wydatki na spłatę przejętych zobowiązań samodzielnego publicznego zakładu opieki zdrowotnej przekształconego na zasadach określonych w przepisach o działalności leczniczej</t>
  </si>
  <si>
    <t>13.5.</t>
  </si>
  <si>
    <t>Wydatki na spłatę przejętych zobowiązań samodzielnego publicznego zakładu opieki zdrowotnej likwidowanego na zasadach określonych w przepisach o działalności leczniczej</t>
  </si>
  <si>
    <t>13.6.</t>
  </si>
  <si>
    <t>Wydatki na spłatę zobowiązań samodzielnego publicznego zakładu opieki zdrowotnej przejętych do końca 2011 r. na podstawie przepisów o zakładach opieki zdrowotnej</t>
  </si>
  <si>
    <t>13.7.</t>
  </si>
  <si>
    <t>Wydatki bieżące na pokrycie ujemnego wyniku finansowego samodzielnego publicznego zakładu opieki zdrowotnej</t>
  </si>
  <si>
    <t>14. Dane uzupełniające o długu i jego spłacie</t>
  </si>
  <si>
    <t>14.1.</t>
  </si>
  <si>
    <t>14.2.</t>
  </si>
  <si>
    <t>14.3.</t>
  </si>
  <si>
    <t>14.3.1.</t>
  </si>
  <si>
    <t>14.3.2.</t>
  </si>
  <si>
    <t>14.3.3.</t>
  </si>
  <si>
    <t>14.4.</t>
  </si>
  <si>
    <t>8.1. Różnica między dochodami bieżącymi a wydatkami bieżącymi</t>
  </si>
  <si>
    <t>11.          Informacje uzupełniające o wybranych rodzajach wydatków budżetowych</t>
  </si>
  <si>
    <r>
      <t>10.1</t>
    </r>
    <r>
      <rPr>
        <b/>
        <sz val="10"/>
        <color rgb="FF000000"/>
        <rFont val="Arial"/>
        <family val="2"/>
        <charset val="238"/>
      </rPr>
      <t xml:space="preserve">.        </t>
    </r>
    <r>
      <rPr>
        <sz val="10"/>
        <color rgb="FF000000"/>
        <rFont val="Arial"/>
        <family val="2"/>
        <charset val="238"/>
      </rPr>
      <t>Spłaty kredytów, pożyczek i wykup papierów wartościowych</t>
    </r>
  </si>
  <si>
    <t>Wykonanie 2010 roku</t>
  </si>
  <si>
    <t>Wykonanie 2011 roku</t>
  </si>
  <si>
    <t>Plan 3 kwartałów 2012 roku</t>
  </si>
  <si>
    <t>5.2.          Inne rozchody niezwiązane ze spłatą długu</t>
  </si>
  <si>
    <t>9.            Wskaźnik spłaty zobowiązań</t>
  </si>
  <si>
    <t>5.1</t>
  </si>
  <si>
    <t>Obliczenie wskaźnika zg z ustawą o finansach publicznych z 27.08.2009 r,</t>
  </si>
  <si>
    <t>wykonanie 2012 roku</t>
  </si>
  <si>
    <t>( w złotych)</t>
  </si>
  <si>
    <t>Załącznik Nr 1</t>
  </si>
  <si>
    <t>9.6.1</t>
  </si>
  <si>
    <t>Finansowanie programów, projektów lub zadań realizowanych z udziałem środków, o których mowa w art. 5 ust. 1 pkt 2 i 3 ustawy</t>
  </si>
  <si>
    <t xml:space="preserve">Wieloletnia Prognoza Finansowa </t>
  </si>
  <si>
    <t>Plan III kw. 2013 roku</t>
  </si>
  <si>
    <t>Wykonanie 2013 roku</t>
  </si>
  <si>
    <t xml:space="preserve">w tym: gwarancje i poręczenia podlegające wyłączeniu z limitu spłaty zobowiązań, o którym mowa w art. 243  ustawy </t>
  </si>
  <si>
    <t>2.1.3.1.1.</t>
  </si>
  <si>
    <t>2.1.3.1.2.</t>
  </si>
  <si>
    <t>z tego:</t>
  </si>
  <si>
    <t>5.1.1.2.</t>
  </si>
  <si>
    <t>5.1.1.3.</t>
  </si>
  <si>
    <r>
      <t>9.1.</t>
    </r>
    <r>
      <rPr>
        <b/>
        <i/>
        <sz val="10"/>
        <color rgb="FF000000"/>
        <rFont val="Arial"/>
        <family val="2"/>
        <charset val="238"/>
      </rPr>
      <t xml:space="preserve">  </t>
    </r>
  </si>
  <si>
    <t>9.2.</t>
  </si>
  <si>
    <t>Kwota zobowiązań zwiazku współtworzonego przez jednostkę samorządu terytorialnego przypadających do spłaty w danym roku budżetowym, podlegająca doliczeniu zgodnie z art. 244 ustawy</t>
  </si>
  <si>
    <t>9.6.1.</t>
  </si>
  <si>
    <t>Wydatki objęte limitem art. 226 ust. 3 pkt 4 ustawy</t>
  </si>
  <si>
    <t>12.5.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</si>
  <si>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</si>
  <si>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</si>
  <si>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-w tym w związku z już zawartą umową na realizację programu, projektu lub zadania</t>
  </si>
  <si>
    <t>12.6.</t>
  </si>
  <si>
    <t>12.6.1</t>
  </si>
  <si>
    <t>12.7.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</si>
  <si>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 </t>
  </si>
  <si>
    <t>12.7.1</t>
  </si>
  <si>
    <t>Przychody z tytułu kredytów, pożyczek, emisji papierów wartościowych powstające w związku zawartą po dniu 1 stycznia 2013 r.  umową na realizację programu, projektu lub zadania finansowanego w co najmniej 60% środkami, o których mowa w art. 5 ust. 1 pkt 2 ustawy</t>
  </si>
  <si>
    <t>12.8.</t>
  </si>
  <si>
    <t>12.8.1</t>
  </si>
  <si>
    <t>15. Dane dotyczące emitowanych obligacji przychodowych</t>
  </si>
  <si>
    <t>15.1.</t>
  </si>
  <si>
    <t>Środki z przedsięwzięcia gromadzone na rachunku bankowym, w tym:</t>
  </si>
  <si>
    <t>15.1.1.</t>
  </si>
  <si>
    <t>15.2.</t>
  </si>
  <si>
    <t>podatki i opłaty</t>
  </si>
  <si>
    <t xml:space="preserve">1.            Dochody ogółem </t>
  </si>
  <si>
    <t xml:space="preserve">Dochody bieżące </t>
  </si>
  <si>
    <t xml:space="preserve">Dochody majątkowe </t>
  </si>
  <si>
    <t xml:space="preserve">ze sprzedaży majątku </t>
  </si>
  <si>
    <t xml:space="preserve">2.             Wydatki ogółem </t>
  </si>
  <si>
    <t xml:space="preserve">Wydatki bieżące </t>
  </si>
  <si>
    <t xml:space="preserve">z tytułu poręczeń i gwarancji </t>
  </si>
  <si>
    <t xml:space="preserve">wydatki na obsługę długu </t>
  </si>
  <si>
    <t xml:space="preserve">w tym odsetki i dyskonto określone w art. 243 ust. 1 ustawy </t>
  </si>
  <si>
    <t>odsetki i dyskonto podlegające wyłączeniu z limitu spłaty zobowiązań, o którym mowa w art. 243 ustawy,  z tytułu zobowiązań zaciągniętych na wkład krajowy</t>
  </si>
  <si>
    <t xml:space="preserve">Wydatki majątkowe </t>
  </si>
  <si>
    <r>
      <t xml:space="preserve">3. </t>
    </r>
    <r>
      <rPr>
        <b/>
        <sz val="10"/>
        <color rgb="FFFF000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 Wynik budżetu </t>
    </r>
  </si>
  <si>
    <t xml:space="preserve">4.            Przychody budżetu </t>
  </si>
  <si>
    <t xml:space="preserve">Nadwyżka budżetowa z lat ubiegłych </t>
  </si>
  <si>
    <t xml:space="preserve">w tym na pokrycie deficytu budżetu </t>
  </si>
  <si>
    <t xml:space="preserve">Wolne środki, o których mowa w art. 217 ust.2 pkt 6 ustawy </t>
  </si>
  <si>
    <t xml:space="preserve">Kredyty, pożyczki, emisja papierów wartościowych </t>
  </si>
  <si>
    <t xml:space="preserve">5.           Rozchody budżetu </t>
  </si>
  <si>
    <r>
      <t xml:space="preserve"> Spłaty rat kapitałowych kredytów i pożyczek oraz wykup papierów wartościowych</t>
    </r>
    <r>
      <rPr>
        <vertAlign val="superscript"/>
        <sz val="10"/>
        <color rgb="FF000000"/>
        <rFont val="Arial"/>
        <family val="2"/>
        <charset val="238"/>
      </rPr>
      <t xml:space="preserve"> </t>
    </r>
  </si>
  <si>
    <t xml:space="preserve">w tym łączna kwota przypadających na dany rok kwot ustawowych wyłączeń z limitu spłaty zobowiązań, o którym mowa  w art. 243 ustawy </t>
  </si>
  <si>
    <t xml:space="preserve">Inne przychody niezwiązane z zaciągnięciem długu 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</si>
  <si>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</t>
  </si>
  <si>
    <t>kwota przypadających na dany rok kwot ustawowych wyłączeń określonych w art. 243 ust. 3 ustawy</t>
  </si>
  <si>
    <t>kwota przypadających na dany rok kwot ustawowych wyłączeń określonych w art. 243 ust. 3a ustawy</t>
  </si>
  <si>
    <t xml:space="preserve">kwota przypadających na dany rok kwot ustawowych wyłączeń innych niż określonych w art. 243 ust. 3 ustawy </t>
  </si>
  <si>
    <t xml:space="preserve">6.            Kwota długu </t>
  </si>
  <si>
    <r>
      <t>8.2. Różnica między dochodami bieżącymi, skorygowanymi o środki</t>
    </r>
    <r>
      <rPr>
        <sz val="10"/>
        <color rgb="FF000000"/>
        <rFont val="Arial"/>
        <family val="2"/>
        <charset val="238"/>
      </rPr>
      <t xml:space="preserve">  a wydatkami bieżącymi, pomniejszonymi</t>
    </r>
    <r>
      <rPr>
        <sz val="10"/>
        <color rgb="FF000000"/>
        <rFont val="Arial"/>
        <family val="2"/>
        <charset val="238"/>
      </rPr>
      <t xml:space="preserve"> o wydatki </t>
    </r>
  </si>
  <si>
    <t>Wskaźnik planowanej łącznej kwoty spłaty zobowiązań, o której mowa w art. 243 ust. 1 ustawy do dochodów 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</si>
  <si>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</si>
  <si>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 xml:space="preserve">Wskaźnik planowanej łącznej kwoty spłaty zobowiązań, o której mowa w art. 243 ust. 1 ustawy do dochodów , po uwzględnieniu zobowiązań związku współtworzonego przez jednostkę samorządu terytorialnego oraz po uwzględnieniu ustawowych wyłączeń przypadających na dany rok </t>
  </si>
  <si>
    <t>Wskaźnik dochodów bieżących powiększonych o dochody ze sprzedaży majątku oraz pomniejszonych o wydatki bieżące, do dochodów budżetu, ustalony dla danego roku (wskaźnik jednoroczny)</t>
  </si>
  <si>
    <t xml:space="preserve">Dopuszczalny wskaźnik spłaty zobowiązań określony w art. 243 ustawy, po uwzględnieniu ustawowych wyłączeń obliczony w oparciu o wykonanie roku poprzedzającego pierwszy rok prognozy (wskaźnik ustalony w oparciu o średnią arytmetyczną z 3 poprzednich lat) </t>
  </si>
  <si>
    <t xml:space="preserve">Informacja o spełnieniu wskaźnika spłaty zobowiązań określonego w art. 243 ustawy, po uwzględnieniu zobowiązań związku współtworzonego przez jednostkę samorządu terytorialnego oraz po uwzględnieniu ustawowych wyłączeń obliczonego w oparciu o wykonanie roku poprzedzającego rok budżetowy </t>
  </si>
  <si>
    <r>
      <t>Dopuszczalny wskaźnik spłaty zobowiązań określony w art. 243 ustawy, po uwzględnieniu ustawowych wyłączeń</t>
    </r>
    <r>
      <rPr>
        <sz val="10"/>
        <color rgb="FF000000"/>
        <rFont val="Arial"/>
        <family val="2"/>
        <charset val="238"/>
      </rPr>
      <t xml:space="preserve"> obliczony w oparciu o plan 3 kwartału roku poprzedzającego pierwszy rok prognozy (wskaźnik ustalony w oparciu o średnią arytmetyczną z 3 poprzednich lat)</t>
    </r>
  </si>
  <si>
    <r>
      <t>10.           Przeznaczenie prognozowanej nadwyżki budżetowej</t>
    </r>
    <r>
      <rPr>
        <b/>
        <sz val="10"/>
        <color rgb="FF000000"/>
        <rFont val="Arial"/>
        <family val="2"/>
        <charset val="238"/>
      </rPr>
      <t>, w tym na:</t>
    </r>
  </si>
  <si>
    <t>Wydatki związane z funkcjonowaniem organów jednostki samorządu terytorialnego</t>
  </si>
  <si>
    <t xml:space="preserve">Wydatki inwestycyjne kontynuowane </t>
  </si>
  <si>
    <t>Nowe wydatki inwestycyjne</t>
  </si>
  <si>
    <t xml:space="preserve">Wydatki na wkład krajowy w związku z zawartą po dniu 1 stycznia 2013 r. umową na realizację programu, projektu lub zadania finansowanego w co najmniej 60%  środkami, o których mowa w art. 5 ust. 1 pkt 2 ustawy </t>
  </si>
  <si>
    <t xml:space="preserve">Spłaty rat kapitałowych oraz wykup papierów wartościowych, o których mowa w poz. 5.1., wynikające wyłącznie z tytułu zobowiązań już zaciągniętych </t>
  </si>
  <si>
    <t xml:space="preserve">Kwota długu, którego planowana spłata dokona się z wydatków budżetu </t>
  </si>
  <si>
    <r>
      <t xml:space="preserve">Wydatki zmniejszające dług </t>
    </r>
    <r>
      <rPr>
        <sz val="10"/>
        <color rgb="FF000000"/>
        <rFont val="Arial"/>
        <family val="2"/>
        <charset val="238"/>
      </rPr>
      <t>, w tym:</t>
    </r>
  </si>
  <si>
    <t>spłata zobowiązań wymagalnych z lat poprzednich, innych niż w poz. 14.3.3.</t>
  </si>
  <si>
    <t xml:space="preserve">związane z umowami zaliczanymi do tytułów dłużnych wliczanych do państwowego długu publicznego </t>
  </si>
  <si>
    <t>wypłaty z tytułu wymagalnych poręczeń i gwarancji</t>
  </si>
  <si>
    <t xml:space="preserve">Wynik operacji niekasowych wpływających na kwotę długu (min. umorzenia, różnice kursowe) </t>
  </si>
  <si>
    <t>środki na zaspokojenie roszczeń obligatariuszy</t>
  </si>
  <si>
    <t>Wydatki bieżące z tytułu świadczenia emitenta należnego obligatariuszom, nieuwzględniane w limicie spłaty zobowiązań, o którym mowa w art. 243 ustawy</t>
  </si>
  <si>
    <t xml:space="preserve">odsetki i dyskonto podlegające wyłączeniu z limitu spłaty zobowiązań, o którym mowa w art. 243 ustawy, w terminie nie dłuższym niż 90 dni po zakończeniu programu,  projektu lub zadania i otrzymaniu refundacji z tych środków (bez odsetek i dyskonta od zobowiązań na wkład krajowy) </t>
  </si>
  <si>
    <t>16. Stopnie niezachowania relacji określonych w art. 242-244 ustawy w przypadku okreslonym w ……….ustawy</t>
  </si>
  <si>
    <t>16.1.</t>
  </si>
  <si>
    <t>Stopień niezachowania relacji zrównoważenia wydatków bieżących, o której mowa w poz. 8.2</t>
  </si>
  <si>
    <t>16.2.</t>
  </si>
  <si>
    <t>Stopień niezachowania wskaźnika spłaty zobowiązań, o którym mowa w poz. 9.7</t>
  </si>
  <si>
    <t>16.3.</t>
  </si>
  <si>
    <t>Stopień niezachowania wskaźnika spłaty zobowiązań, o którym mowa w poz. 9.7.1</t>
  </si>
  <si>
    <t>Dochody budżetowe z tytułu dotacji celowej z budżetu państwa, o której mowa w art. 196 ustawy z dnia 15 kwietnia 2011 r. o działalności leczniczej (Dz.U. z 2013 r. poz. 217, z późn. zm.)</t>
  </si>
  <si>
    <t>Plan III kw. 2014 roku</t>
  </si>
  <si>
    <t>Wykonanie 2014 roku</t>
  </si>
  <si>
    <t xml:space="preserve"> 2019 rok</t>
  </si>
  <si>
    <t xml:space="preserve"> 2020 rok</t>
  </si>
  <si>
    <t xml:space="preserve"> 2021 rok</t>
  </si>
  <si>
    <t xml:space="preserve"> 2022 rok</t>
  </si>
  <si>
    <t xml:space="preserve"> 2023 rok</t>
  </si>
  <si>
    <t xml:space="preserve"> 2024 rok</t>
  </si>
  <si>
    <t>Plan III kw. 2015 roku</t>
  </si>
  <si>
    <t>Wykonanie 2015 roku</t>
  </si>
  <si>
    <t>Wykonanie 2016 roku</t>
  </si>
  <si>
    <t>Plan III kw. 2016 roku</t>
  </si>
  <si>
    <t>Plan III kw. 2017 roku</t>
  </si>
  <si>
    <t>Wykonanie 2017 roku</t>
  </si>
  <si>
    <t>Załącznik Nr 2</t>
  </si>
  <si>
    <t>Rady Miasta Jastrzębie-Zdrój</t>
  </si>
  <si>
    <t>Wykaz przedsięwzięć wieloletnich</t>
  </si>
  <si>
    <t>Lp</t>
  </si>
  <si>
    <t>Nazwa i cel</t>
  </si>
  <si>
    <t>Jednostka odpowiedzialna lub koordynująca program</t>
  </si>
  <si>
    <t>Okres realizacji programu</t>
  </si>
  <si>
    <t>Limity wydatków w poszczególnych latach (wszystkie lata)</t>
  </si>
  <si>
    <t>Limit zobowiązań</t>
  </si>
  <si>
    <t>Łączne nakłady  finansowe</t>
  </si>
  <si>
    <t>wydatki poniesione w latach poprzednich</t>
  </si>
  <si>
    <t>od</t>
  </si>
  <si>
    <t>do</t>
  </si>
  <si>
    <t xml:space="preserve">2019 rok </t>
  </si>
  <si>
    <t xml:space="preserve">2020 rok </t>
  </si>
  <si>
    <t xml:space="preserve">2021 rok </t>
  </si>
  <si>
    <t>1.</t>
  </si>
  <si>
    <r>
      <t xml:space="preserve">Wydatki na przedsięwzięcia - ogółem (1.1.+1.2.+1.3) </t>
    </r>
    <r>
      <rPr>
        <b/>
        <i/>
        <sz val="10"/>
        <color rgb="FF000000"/>
        <rFont val="Arial"/>
        <family val="2"/>
        <charset val="238"/>
      </rPr>
      <t xml:space="preserve">z </t>
    </r>
    <r>
      <rPr>
        <b/>
        <sz val="10"/>
        <color rgb="FF000000"/>
        <rFont val="Arial"/>
        <family val="2"/>
        <charset val="238"/>
      </rPr>
      <t>tego:</t>
    </r>
  </si>
  <si>
    <t>l.a</t>
  </si>
  <si>
    <t>■ wydatki bieżące</t>
  </si>
  <si>
    <t>l.b</t>
  </si>
  <si>
    <t>■ wydatki majątkowe</t>
  </si>
  <si>
    <t>Zespół Szkół Zawodowych</t>
  </si>
  <si>
    <t>Szkoła Podstawowa nr 1</t>
  </si>
  <si>
    <t>1.1.1.4</t>
  </si>
  <si>
    <t>Szkoła Podstawowa nr 5</t>
  </si>
  <si>
    <t>doskonalenie warsztatu pracy nauczycieli w oparciu o doświadczenie europejskich systemów edukacyjnych oraz poszukiwanie innowacyjnych metod i form pracy z uwzględnieniem specjalnych potrzeb edukacyjnych uczniów</t>
  </si>
  <si>
    <t>1.1.1.5</t>
  </si>
  <si>
    <t>Enriching the curriculum with ICT</t>
  </si>
  <si>
    <t>Publiczne Przedszkole nr 17</t>
  </si>
  <si>
    <t>poprawa i rozwój umiejętności pracowników zwłaszcza w zakresie pracy z uczniami z wykorzystaniem nowoczesnych metod nauczania  z udziałem technologii informacyjnych i komunikacyjnych oraz promowanie języka  angielskiego</t>
  </si>
  <si>
    <t>1.1.1.8</t>
  </si>
  <si>
    <t>Nasza przyszłość w naszych rękach - praktyki zagraniczne uczniów CKP w Jastrzębiu-Zdroju</t>
  </si>
  <si>
    <t>Centrum Kształcenia Praktycznego</t>
  </si>
  <si>
    <t>odbycie zagranicznych praktyk zawodowych przez uczniów klas trzecich kształcących się w zawodach technik mechatronik, technik analityk, technik elektryk oraz technik informatyk</t>
  </si>
  <si>
    <t>1.1.1.9</t>
  </si>
  <si>
    <t>Europejska ścieżka kariery zawodowej szansą na lepszą przyszłość</t>
  </si>
  <si>
    <t xml:space="preserve">odbycie zagranicznych staży zawodowych  uczniów w Portugalii i Niemczech </t>
  </si>
  <si>
    <t>1.1.1.10</t>
  </si>
  <si>
    <t>Przez współpracę do sukcesu</t>
  </si>
  <si>
    <t>Szkoła Podstawowa nr 18</t>
  </si>
  <si>
    <t>podniesienie kwalifikacji oraz umiejętności pracowników, w tym podniesienie umiejętności językowych nauczycieli odbywających kurs językowy oraz kurs metodyczny</t>
  </si>
  <si>
    <t>Urząd Miasta Jastrzębie-Zdrój</t>
  </si>
  <si>
    <t>1.1.1.12</t>
  </si>
  <si>
    <t>Praktyka i praca - Aktywizacja zawodowa osób bezrobotnych w wieku 30+</t>
  </si>
  <si>
    <t>Powiatowy Urząd Pracy</t>
  </si>
  <si>
    <t>aktywizacja zawodowa 108 osób w wieku 30 + zarejestrowanych w PUP w Jastrzębiu-Zdroju</t>
  </si>
  <si>
    <t>1.1.1.16</t>
  </si>
  <si>
    <t>Razem przeciw powodzi</t>
  </si>
  <si>
    <t>podniesienie transgranicznej gotowości do podejmowania działań podczas zagrożeń powodziowych</t>
  </si>
  <si>
    <t>1.1.1.17</t>
  </si>
  <si>
    <t>Zespół Szkół Nr 2</t>
  </si>
  <si>
    <t>1.1.1.19</t>
  </si>
  <si>
    <t>Zintensyfikowanie współpracy transgranicznej straży miejskich w Karwinie i Jastrzębiu-Zdroju</t>
  </si>
  <si>
    <t>nawiązanie współpracy straży miejskich i wspólne rozwiązywanie problemów pojawiających się po obu stronach granicy</t>
  </si>
  <si>
    <t>1.1.1.21</t>
  </si>
  <si>
    <t>Cyfryzacja i standaryzacja danych powiatowego zasobu geodezyjnego i kartograficznego w Jastrzębiu-Zdroju podstawą rozwoju wysokiej jakości elektronicznych usług publicznych opartych na geoinformacji</t>
  </si>
  <si>
    <t>zbudowanie zbioru dokumentów cyfrowych i modernizacja geoprzestrzennych baz danych miasta stanowiących podstawę wdrożenia i świadczenia zaawansowanych e-usług publicznych</t>
  </si>
  <si>
    <t>1.1.1.22</t>
  </si>
  <si>
    <t>Utworzenie Centrum Usług Społecznych oraz świetlicy specjalistycznej dla mieszkańców ulic Gagarina i Tysiąclecia w Jastrzębiu-Zdroju</t>
  </si>
  <si>
    <t>Ośrodek Pomocy Społecznej</t>
  </si>
  <si>
    <t xml:space="preserve">wzrost dostępności i jakości usług społecznych zapobiegających ubóstwu i wykluczeniu społecznemu na terenie Miasta Jastrzębie-Zdrój </t>
  </si>
  <si>
    <t>1.1.1.23</t>
  </si>
  <si>
    <t>Rozwój usług społecznych na terenie Miasta Jastrzębie-Zdrój</t>
  </si>
  <si>
    <t>wzrost dostępności i jakości usług społecznych zapobiegających ubóstwu i wykluczeniu społecznemu na terenie Miasta Jastrzębie-Zdrój</t>
  </si>
  <si>
    <t>1.1.1.24</t>
  </si>
  <si>
    <t>Profesjonalne pracownie w Jastrzębiu-Zdroju 2</t>
  </si>
  <si>
    <t>wzmocnienie atrakcyjności i podniesienie jakości oferty edukacyjnej jastrzębskich szkół prowadzących kształcenie zawodowe, służące podniesieniu zdolności uczniów do przyszłego zatrudnienia- promocja</t>
  </si>
  <si>
    <t>1.1.1.25</t>
  </si>
  <si>
    <t>O krok do przodu</t>
  </si>
  <si>
    <t>zwiększenie zdolności do zatrudnienia oraz integracji społeczno-zawodowej osób i grup doświadczonych wykluczeniem społecznym</t>
  </si>
  <si>
    <t>1.1.1.26</t>
  </si>
  <si>
    <t>VI polsko-czeskie spotkania branżowe</t>
  </si>
  <si>
    <t>zwiększenie poziomu współpracy między instytucjami i społecznościami w regionie przygranicznym</t>
  </si>
  <si>
    <t>1.1.1.27</t>
  </si>
  <si>
    <t>Przewaga dzięki praktycznym umiejętnościom uczniów szkół zawodowych w Jastrzębiu-Zdroju</t>
  </si>
  <si>
    <t>1.1.1.28</t>
  </si>
  <si>
    <t>wsparcie uczniów i uczennic szkół zawodowych (branżowych) w Jastrzębiu-Zdroju. Projekt zakłada poprawę dostępu do wysokiej jakości edukacji. W ramach projektu przewidziane jest doradztwo edukacyjno-zawodowe dla uczestników projektu, które będzie miało na celu zaplanowanie ścieżki rozwoju ucznia zgodnie z jego kompetencjami. W ramach projektu przewidziane jest wsparcie w zakresie dodatkowych uprawnień zwiększających ich szanse na rynku pracy</t>
  </si>
  <si>
    <t>1.1.1.29</t>
  </si>
  <si>
    <t>Zespół Szkół Nr 6</t>
  </si>
  <si>
    <t>1.1.1.30</t>
  </si>
  <si>
    <t>1.1.1.31</t>
  </si>
  <si>
    <t>1.1.1.32</t>
  </si>
  <si>
    <t>Nasza szkoła oknem na świat dająca róznorodne możliwości</t>
  </si>
  <si>
    <t>Szkoła Podstawowa nr 12</t>
  </si>
  <si>
    <t>poprawa i rozwój umiejętności pracowników, zwłaszcza w zakresie języków obcych, promowanie otwartości, tolerancji i poszanowania różnorodności</t>
  </si>
  <si>
    <t>1.1.1.33</t>
  </si>
  <si>
    <t>Aktywność. Rozwój. Zaangażowanie</t>
  </si>
  <si>
    <t>podniesienie kompetencji nauczycieli, otworzenie ich na innowacyjne metody nauczania oraz wzmocnić umiejętności językowe pracowników</t>
  </si>
  <si>
    <t>1.1.1.34</t>
  </si>
  <si>
    <t>Przystanek Portugalia - zagraniczne praktyki zawodowe</t>
  </si>
  <si>
    <t>zdobycie nowych kompetencji zawodowych, doskonalenie znajomości języka angielskiego oraz zwiększenie zakresu mobilności zawodowej uczniów</t>
  </si>
  <si>
    <t>Krok w przód. Wzmacnianie potencjału społeczno-zawodowego społeczności na obszarze rewitalizacji w Jastrzębiu-Zdroju</t>
  </si>
  <si>
    <t xml:space="preserve">wzmocnienie aktywności i pobudzenie spójności społecznej 8 zmarginalizowanych, wieloproblemowych społeczności lokalnych Jastrzębia-Zdroju, w tym 85 osób zagrożonych ubóstwem lub wykluczeniem społecznym </t>
  </si>
  <si>
    <t>1.1.2</t>
  </si>
  <si>
    <t>1.1.2.3</t>
  </si>
  <si>
    <t>1.1.2.4</t>
  </si>
  <si>
    <t>Przebudowa budynku przy ul. Gagarina 116 w Jastrzębiu - Zdroju na potrzeby budownictwa socjalnego</t>
  </si>
  <si>
    <t>Miejski Zarząd Nieruchomości</t>
  </si>
  <si>
    <t>pozyskanie nowych lokali socjalnych poprzez adaptację i nadbudowę budynku</t>
  </si>
  <si>
    <t>1.1.2.6</t>
  </si>
  <si>
    <t>1.1.2.7</t>
  </si>
  <si>
    <t>1.1.2.10</t>
  </si>
  <si>
    <t>Wykorzystanie odnawialnych źródeł energii w SP 1 w Jastrzębiu-Zdroju</t>
  </si>
  <si>
    <t>1.1.2.11</t>
  </si>
  <si>
    <t>Wykorzystanie odnawialnych źródeł energii w SP 17 w Jastrzębiu-Zdroju</t>
  </si>
  <si>
    <t>wzmocnienie atrakcyjności i podniesienie jakości oferty edukacyjnej jastrzębskich szkół prowadzących kształcenie zawodowe, służące podniesieniu zdolności uczniów do przyszłego zatrudnienia-wyposażenie pracowni</t>
  </si>
  <si>
    <t>Rewitalizacja obiektu Łazienki III w Parku Zdrojowym</t>
  </si>
  <si>
    <t>rozbudowa i rewitalizacja obiektu Łazienki III</t>
  </si>
  <si>
    <t>Zwiększenie efektywności energetycznej w budynkach użyteczności publicznej ul. K. Paryskiej 14 - 16 w Jastrzębiu - Zdroju</t>
  </si>
  <si>
    <t>zwiększenie efektywności energetycznej budynku poprzez wykorzystanie odnawialnych źródeł energii i zmniejszenie energochłonności infrastruktury</t>
  </si>
  <si>
    <t>Zwiększenie efektywności energetycznej w budynku SP 1 wraz z rozbudową na cele PP 7 w Jastrzębiu-Zdroju</t>
  </si>
  <si>
    <t xml:space="preserve">Wydatki na programy, projekty lub zadania związane z umowami partnerstwa publiczno-prywatnego </t>
  </si>
  <si>
    <t xml:space="preserve"> </t>
  </si>
  <si>
    <t>1.2.2.</t>
  </si>
  <si>
    <t>1.3.</t>
  </si>
  <si>
    <r>
      <t xml:space="preserve">Wydatki na programy, projekty lub zadania pozostałe (inne niż wymienione w pkt 1.1 i 1.2) , </t>
    </r>
    <r>
      <rPr>
        <b/>
        <i/>
        <sz val="10"/>
        <color rgb="FF000066"/>
        <rFont val="Arial"/>
        <family val="2"/>
        <charset val="238"/>
      </rPr>
      <t xml:space="preserve">z </t>
    </r>
    <r>
      <rPr>
        <b/>
        <sz val="10"/>
        <color rgb="FF000066"/>
        <rFont val="Arial"/>
        <family val="2"/>
        <charset val="238"/>
      </rPr>
      <t>tego:</t>
    </r>
  </si>
  <si>
    <t>1.3.1.</t>
  </si>
  <si>
    <t>1.3.2</t>
  </si>
  <si>
    <t>1.3.2.1</t>
  </si>
  <si>
    <t>Budowa oświetlenia ulic</t>
  </si>
  <si>
    <t>budowa oświetlenia ulic, placów i dróg dla zapewnienia bezpieczeństwa ruchu pieszego i kołowego w Mieście</t>
  </si>
  <si>
    <t>1.3.2.2</t>
  </si>
  <si>
    <t>Przebudowa ul. Witczaka</t>
  </si>
  <si>
    <t xml:space="preserve">poprawa układu komunikacyjnego </t>
  </si>
  <si>
    <t>1.3.2.3</t>
  </si>
  <si>
    <t>Cmentarze</t>
  </si>
  <si>
    <t>Jastrzębski Zakład Komunalny</t>
  </si>
  <si>
    <t>rozbudowa cmentarzy komunalnych w celu zapewnienia miejsc pochówku na terenie Miasta</t>
  </si>
  <si>
    <t>1.3.2.4</t>
  </si>
  <si>
    <t>1.3.2.5</t>
  </si>
  <si>
    <t>Przebudowa  budynku ul. Szkolna 1</t>
  </si>
  <si>
    <t>przebudowa  budynku dla potrzeb Środowiskowego Domu Samopomocy</t>
  </si>
  <si>
    <t>1.3.2.6</t>
  </si>
  <si>
    <t>1.3.2.7</t>
  </si>
  <si>
    <t>1.3.2.8</t>
  </si>
  <si>
    <t>Historia Węglem Pisana Jastrzębie-Zdrój - Karwina - Hawierzów</t>
  </si>
  <si>
    <t>promocja dziedzictwa kulturowego</t>
  </si>
  <si>
    <t>1.3.2.9</t>
  </si>
  <si>
    <t>1.3.2.10</t>
  </si>
  <si>
    <t>1.3.2.11</t>
  </si>
  <si>
    <t>Przebudowa ul. Torowej i Majowej</t>
  </si>
  <si>
    <t>1.3.2.12</t>
  </si>
  <si>
    <t>poprawa układu komunikacyjnego</t>
  </si>
  <si>
    <t>1.3.2.13</t>
  </si>
  <si>
    <t>1.3.2.14</t>
  </si>
  <si>
    <t>1.3.2.15</t>
  </si>
  <si>
    <t>1.3.2.16</t>
  </si>
  <si>
    <t>Przebudowa ul. Podhalańskiej</t>
  </si>
  <si>
    <t>1.3.2.17</t>
  </si>
  <si>
    <t>1.3.2.18</t>
  </si>
  <si>
    <t>Przebudowa ul. Rolniczej wraz z oświetleniem</t>
  </si>
  <si>
    <t>1.3.2.19</t>
  </si>
  <si>
    <t>Przebudowa ul. K. Wielkiego</t>
  </si>
  <si>
    <t>1.3.2.20</t>
  </si>
  <si>
    <t>Rowerem po żelaznym szlaku</t>
  </si>
  <si>
    <t>zwiększenie ilości ścieżek rowerowych</t>
  </si>
  <si>
    <t>1.3.2.21</t>
  </si>
  <si>
    <t>wspieranie efektywności energetycznej i wykorzystanie odnawialnych źródeł energii</t>
  </si>
  <si>
    <t>1.3.2.22</t>
  </si>
  <si>
    <t>Termomodernizacja budynków</t>
  </si>
  <si>
    <t>1.3.2.23</t>
  </si>
  <si>
    <t>1.3.2.24</t>
  </si>
  <si>
    <t xml:space="preserve">poprawa warunków nauczania </t>
  </si>
  <si>
    <t>1.3.2.25</t>
  </si>
  <si>
    <t>1.3.2.26</t>
  </si>
  <si>
    <t>1.3.2.27</t>
  </si>
  <si>
    <t>1.3.2.28</t>
  </si>
  <si>
    <t>1.3.2.29</t>
  </si>
  <si>
    <t>Przebudowa ul. Chlebowej</t>
  </si>
  <si>
    <t>1.3.2.30</t>
  </si>
  <si>
    <t>Przebudowa ul. J. Dąbrowskiego</t>
  </si>
  <si>
    <t>1.3.2.31</t>
  </si>
  <si>
    <t>1.3.2.32</t>
  </si>
  <si>
    <t>Oddymianie w przedszkolach</t>
  </si>
  <si>
    <t xml:space="preserve">poprawa bezpieczeństwa pożarowego w przedszkolach </t>
  </si>
  <si>
    <t>1.3.2.33</t>
  </si>
  <si>
    <t>1.3.2.34</t>
  </si>
  <si>
    <t>Budowa PSZOK</t>
  </si>
  <si>
    <t>lepsze zaspokojenie potrzeb mieszkańców pod względem możliwości zapewnienia odbioru różnych rodzajów odpadów</t>
  </si>
  <si>
    <t>1.3.2.35</t>
  </si>
  <si>
    <t xml:space="preserve">Tworzenie terenów inwestycyjnych na terenie byłej  KWK Moszczenica </t>
  </si>
  <si>
    <t>podniesienie atrakcyjności terenów poprzemysłowych</t>
  </si>
  <si>
    <t>1.3.2.36</t>
  </si>
  <si>
    <t>Modernizacja zabytkowego Parku Zdrojowego im. Mikołaja Witczaka oraz historycznych obiektów w Jastrzębiu - Zdroju</t>
  </si>
  <si>
    <t>zachowanie dziedzictwa kulturowego i naturalnego</t>
  </si>
  <si>
    <t>1.3.2.37</t>
  </si>
  <si>
    <t>prawidłowa gospodarka wodno-ściekowa</t>
  </si>
  <si>
    <t>1.3.2.38</t>
  </si>
  <si>
    <t>Odwodnienie ul. Stawowej</t>
  </si>
  <si>
    <t>1.3.2.39</t>
  </si>
  <si>
    <t>1.3.2.40</t>
  </si>
  <si>
    <t>1.3.2.41</t>
  </si>
  <si>
    <t>1.3.2.42</t>
  </si>
  <si>
    <t>Budowa dróg ul. Gołębia</t>
  </si>
  <si>
    <t>1.3.2.43</t>
  </si>
  <si>
    <t>Budowa dróg Reymonta-Okopowa</t>
  </si>
  <si>
    <t>1.3.2.44</t>
  </si>
  <si>
    <t>Przebudowa ul. Dubielec</t>
  </si>
  <si>
    <t>1.3.2.45</t>
  </si>
  <si>
    <t>1.3.2.46</t>
  </si>
  <si>
    <t xml:space="preserve">Zmiana sposobu użytkowania lokali użytkowych przy ul. Szarych Szeregów 1-3-5 na lokale mieszkalne dostosowane dla osób niepełnosprawnych </t>
  </si>
  <si>
    <t>wykonanie adaptacji lokali użytkowych zlokalizowanych na parterze budynku przy ul. Szarych Szeregów 1-3-5 na lokale mieszkalne</t>
  </si>
  <si>
    <t>1.3.2.47</t>
  </si>
  <si>
    <t>1.3.2.48</t>
  </si>
  <si>
    <t>1.3.2.49</t>
  </si>
  <si>
    <t>1.3.2.50</t>
  </si>
  <si>
    <t>Zwiększenie efektywności energetycznej w budynku Centrum Kształcenia Praktycznego i Zespołu Szkół Nr 5 przy ul. Staszica w Jastrzębiu-Zdroju</t>
  </si>
  <si>
    <t>zwiększenie efektywności energetycznej budynku</t>
  </si>
  <si>
    <t>1.3.2.51</t>
  </si>
  <si>
    <t>1.3.2.52</t>
  </si>
  <si>
    <t>1.3.2.53</t>
  </si>
  <si>
    <t>Przebudowa ul. Boża Góra Prawa</t>
  </si>
  <si>
    <t>1.3.2.54</t>
  </si>
  <si>
    <t>Przebudowa ul. Dunikowskiego</t>
  </si>
  <si>
    <t>Budowa chodnika ul. Połomska wraz z oświetleniem</t>
  </si>
  <si>
    <t>poprawa bezpieczeństwa w Mieście</t>
  </si>
  <si>
    <t>Budowa chodnika ul. Powstańców Śl.</t>
  </si>
  <si>
    <t xml:space="preserve">poprawa bezpieczeństwa ruchu pieszego </t>
  </si>
  <si>
    <t>Budowa chodnika ul. Libowiec</t>
  </si>
  <si>
    <t xml:space="preserve">poprawa bezpieczeństwa w Mieście </t>
  </si>
  <si>
    <t>Budowa chodnika ul. Niepodległości</t>
  </si>
  <si>
    <t xml:space="preserve">Budowa drogi łącznik ul. J. Dąbrowskiego w Jastrzębiu-Zdroju z ul. Wallacha w gminie Godów </t>
  </si>
  <si>
    <t>Przebudowa wiaduktu w ciągu Al. Piłsudskiego</t>
  </si>
  <si>
    <t xml:space="preserve">poprawa bezpieczeństwa ruchu </t>
  </si>
  <si>
    <t>Przebudowa i modernizacja budynku przy ul. Wielkopolskiej 20 na potrzeby jednostek organizacyjnych Miasta</t>
  </si>
  <si>
    <t xml:space="preserve">poprawa jakości  usług świadczonych przez jednostki miejskie </t>
  </si>
  <si>
    <t>zwiększenie ilości miejsc parkingowych</t>
  </si>
  <si>
    <t>Parking przy ul. Jagiełły</t>
  </si>
  <si>
    <t xml:space="preserve">Przebudowa układu komunikacyjnego oraz parkingu przy SP 15 </t>
  </si>
  <si>
    <t>Budowa drogi - odnoga ul. Dębina</t>
  </si>
  <si>
    <t>podniesienie atrakcyjności terenów przemysłowych</t>
  </si>
  <si>
    <t>Wykonanie koncepcji i projektu dróg na terenie po KWK "JAS-MOS" i włączenie tego terenu do Drogi Głównej Południowej (DW 933)</t>
  </si>
  <si>
    <t>Rewitalizacja i przebudowa ulicy 1 Maja w Jastrzębiu - Zdroju</t>
  </si>
  <si>
    <t>stworzenie atrakcyjnej przestrzeni publicznej deptaku „długiego rynku” w historycznej części Miasta</t>
  </si>
  <si>
    <t>Przebudowa ul. Wolności</t>
  </si>
  <si>
    <t>Przebudowa budynku "Dworu Obronnego" w Bziu na potrzeby PP 11</t>
  </si>
  <si>
    <t xml:space="preserve">zachowanie dziedzictwa kulturowego </t>
  </si>
  <si>
    <t>Adaptacja lokali użytkowych na lokale mieszkalne</t>
  </si>
  <si>
    <t>utworzenie lokalu mieszkalnego z lokalu użytkowego</t>
  </si>
  <si>
    <t>Modernizacja budynku PEC na potrzeby jednostek  miasta</t>
  </si>
  <si>
    <t>Zwiększenie efektywności energetycznej w budynku PP 4 w Jastrzębiu-Zdroju</t>
  </si>
  <si>
    <t>Przebudowa ul. Wyzwolenia w Jastrzębiu-Zdroju</t>
  </si>
  <si>
    <t>Termomodernizacja i przebudowa budynku oraz budowa garażu przy ul. Pszczyńskiej</t>
  </si>
  <si>
    <t xml:space="preserve">dostosowanie budynku przy ul. Pszczyńskiej 142 na potrzeby organizacji działających na osiedlu na rzecz lokalnej społeczności </t>
  </si>
  <si>
    <t>Odwodnienie i remont drogi os. 1000 Lecia 15, 15 C-D</t>
  </si>
  <si>
    <t>Zespół Szkół Mistrzostwa Sportowego</t>
  </si>
  <si>
    <t>Szkoła Podstawowa nr 10</t>
  </si>
  <si>
    <t>Szkoła Podstawowa nr 9</t>
  </si>
  <si>
    <t>Zespół Szkół  Nr 3</t>
  </si>
  <si>
    <t>Zespół Szkół  Nr 2</t>
  </si>
  <si>
    <t>Szkoła Podstawowa nr 6</t>
  </si>
  <si>
    <t>Nauka dla sportu - wsparcie działań edukacyjnych wśród przyszłych sportowców Szkoły Podstawowej nr 3 z oddziałami Mistrzostwa Sportowego w Jastrzębiu-Zdroju</t>
  </si>
  <si>
    <t xml:space="preserve"> poprawa jakości oddziaływań dydaktyczno–wychowawczych, doposażenie w pomoce dydaktyczne, narzędzia ICT, utworzenie klasopracowni geograficznej i fizyczno–chemicznej </t>
  </si>
  <si>
    <t>Szkoła równych szans - docenić ucznia, rozwijać jego zaintersowania - poprawa jakości kształcenia w Szkole Podstawowej nr 12 w Jastrzębiu-Zdroju</t>
  </si>
  <si>
    <t>poprawa jakości kształcenia oparta o edukację metodą eksperymentu</t>
  </si>
  <si>
    <t xml:space="preserve"> poprawa jakości kształcenia , doposażenie w pomoce dydaktyczne i narzędzia ICT, uworzenie klasopracowni: chemicznej, fizycznej i przyrodniczej</t>
  </si>
  <si>
    <t>Poprawa efektywności kształcenia w Szkole Podstawowej nr 9 w Jastrzębiu-Zdroju</t>
  </si>
  <si>
    <t>zwiększenie kompetencji kluczowych , stworzenie warunków poprawy jakości i efektywności nauczania, doposażenia szkoły</t>
  </si>
  <si>
    <t>Poprawa efektywności kształcenia w Szkole Podstawowej nr 5 w Jastrzębiu-Zdroju</t>
  </si>
  <si>
    <t>zwiększenie kompetencji kluczowych , stworzenie warunków poprawy jakości i efektywności nauczania, doposażenia szkoły, wsparcie nauczycieli</t>
  </si>
  <si>
    <t xml:space="preserve"> podniesienie jakości oferty edukacyjnej, nowoczesne klasopracownie do pracy metodą eksperymentu, doposażenie pracowni komputerowej, zakup pomocy dydaktycznych</t>
  </si>
  <si>
    <t>poprawa jakości kształcenia  poprzez realizację: zajęć dydaktyczno-wyrównawczych, zajęć dodatkowych, w tym opartych na eksperymencie,  oraz zajęć doradztwa zawodowego
i przedsiębiorczości, utworzeniu klasopracowni przedmiotowych i doposażeniu szkoły w pomoce dydaktyczne i narzędzia ICT wspomagające pracę z uczniami ze specjalnymi potrzebami edukacyjnym</t>
  </si>
  <si>
    <t>Kszatłcenie kompetencji niezbędnych na rynku pracy oraz doradztwo zawodowe w Zespole Szkół nr 2 im. Wojciecha Korfantego w Jastrzebiu-Zdroju "kluczem do sukcesu"</t>
  </si>
  <si>
    <t>budowa instalacji fotowoltaicznej, która przyczyni się do zmniejszenia zużycia energii finalnej obiektu i spowoduje ograniczenie emisji substancji szkodliwych</t>
  </si>
  <si>
    <t>zwiększenie efektywności energetycznej w SP 1 oraz poprawa jakości usług świadczonych w PP7</t>
  </si>
  <si>
    <t>zwiększenie efektywności energetycznej w SP 17</t>
  </si>
  <si>
    <t>1.1.1.35</t>
  </si>
  <si>
    <t>1.1.1.36</t>
  </si>
  <si>
    <t>1.1.1.37</t>
  </si>
  <si>
    <t>1.1.1.38</t>
  </si>
  <si>
    <t>1.1.1.39</t>
  </si>
  <si>
    <t>1.1.1.40</t>
  </si>
  <si>
    <t>1.1.1.41</t>
  </si>
  <si>
    <t>1.1.1.42</t>
  </si>
  <si>
    <t>10-tka na miarę możliwości - wyrównywanie szans edukacyjnych wśród uczniów Szkoły Podstawowej nr 10 z Jastrzębia-Zdroju</t>
  </si>
  <si>
    <t>"Projektuj, graj i eksperymentuj - świat nauki w szkole średniej"- zajęcia wyrównawcze i dodatkowe w III LO w Jastrzębiu-Zdroju - inspiracją do poszukiwania własnej drogi kariery</t>
  </si>
  <si>
    <t>Nowoczesna edukacja paszportem do przyszłości - zwiększenie atrakcyjności zajęć dydaktycznych w Szkole Podstawowej nr 6 w Jastrzębiu-Zdroju</t>
  </si>
  <si>
    <t>1.1.1.43</t>
  </si>
  <si>
    <t>Zespół Szkół  Zawodowych</t>
  </si>
  <si>
    <t>Zwiększenie efektywności energetycznej w budynku SP 17 w Jastrzębiu-Zdroju</t>
  </si>
  <si>
    <t>Szkoła branżowa pierwszym krokiem do międzynarodowej kariery zawodowej</t>
  </si>
  <si>
    <t>nabycie nowych kompetencji zawodowych tak aby wchodząc na rynek pracy posiadać doświadczenie i umiejętności odpowiadające potrzebom pracodawców</t>
  </si>
  <si>
    <t>Sprawni w zawodzie</t>
  </si>
  <si>
    <t>Zespół Szkół  nr 9</t>
  </si>
  <si>
    <t>Zespół Szkół  nr 6</t>
  </si>
  <si>
    <t>Nauczyciel coachem! Kształtowanie umiejętności interpersonalnych, metodycznych i językowych</t>
  </si>
  <si>
    <t>poszerzenie kwalifikacji metodycznych, szkolenia metodyczne i językowe, rozwijanie swoich zainteresowań, poznanie kultury innych krajów</t>
  </si>
  <si>
    <t>Budowa boiska przy SP 14</t>
  </si>
  <si>
    <t>poszerzenie bazy rekreacyjno-sportowej</t>
  </si>
  <si>
    <t>podniesienie jakości kształcenia, dopasowanie kompetencji zawodowych uczniów do wymogów rynkku pracy, wyrównanie szans osób niepełnosprawnych, przeciwdziałanie przedwczesnemu kończeniu edukacji</t>
  </si>
  <si>
    <t>Przebudowa kanalizacji deszczowej przy ul. Truskawkowej i ulicach przyległych</t>
  </si>
  <si>
    <t>uregulowanie odprowadzania wód deszczowych poprzez system kanalizacji deszczowej</t>
  </si>
  <si>
    <t>Zespół Szkół  nr 3</t>
  </si>
  <si>
    <t>Szkoła Podstawowa nr 15</t>
  </si>
  <si>
    <t>Przebudowa instalacji elektrycznej w Szkole Podstawowej nr 9</t>
  </si>
  <si>
    <t>poprawa bezpieczeństwa funkcjonowania szkoły</t>
  </si>
  <si>
    <t>Szkoła Podstwawowa nr 9</t>
  </si>
  <si>
    <t>W świat po nowe doświadczenie kształcąc młodzież lepszego jutra</t>
  </si>
  <si>
    <t>tworzenie warunków do wszechstronnego rozwoju osobowego ucznia, przygotowania uczniów do życia w rodzinie, społeczeństwie lokalnym i państwie</t>
  </si>
  <si>
    <t xml:space="preserve">Równe szanse - ciągły rozwój </t>
  </si>
  <si>
    <t>Innowacyjny nauczyciel kluczem do sukcesu każdego ucznia</t>
  </si>
  <si>
    <t>podnoszenie motywacji uczniów do nauki, wprowadzenie nowych, innowacyjnych oraz ciekawych metod pracy dydaktycznej,rozbudzenie kreatywności uczniów, poznawanie dziedzictwa kulturowego różnych krajów europejskich</t>
  </si>
  <si>
    <t>Młodzi podróżnicy w Europie</t>
  </si>
  <si>
    <t>aktywizacja dzieci i młodzieży, umiejętność posługiwania się językami obcymi, rozwijanie funkcji organizacyjnych i poznawczych, rozbudzenie kreatywności uczniów, poznanie dziedzictwa kulturowego różnych krajów europejskich</t>
  </si>
  <si>
    <t>SOS dla Seniora - dłużej w domu, bezpieczniej, aktywniej, pewniej</t>
  </si>
  <si>
    <t>Przebudowa instalacji elektrycznej w Szkole Podstawowej nr 13</t>
  </si>
  <si>
    <t>Szkoła Podstwawowa nr 13</t>
  </si>
  <si>
    <t>Ćwiczenie nie zna granic</t>
  </si>
  <si>
    <t>poszerzenie bazy rekreacyjno - sportowej</t>
  </si>
  <si>
    <t>Wyrównywanie szans edukacyjnych dzieci w Jastrzębiu - Zdroju</t>
  </si>
  <si>
    <t>wzrost dostępności do wysokiej jakości edukacji przedszkolnej  poprzez utworzenie dodatkowych miejsc wychowania przedszkolnego oraz podniesienie umiejętności i kompetencji nauczycieli</t>
  </si>
  <si>
    <t>Plan III kw. 2018 roku</t>
  </si>
  <si>
    <t>Wykonanie 2018 roku</t>
  </si>
  <si>
    <t>Modernizacja budynków</t>
  </si>
  <si>
    <t>Przebudowa budynku ZS Nr 9</t>
  </si>
  <si>
    <t>Dostosowanie obiektu do potrzeb przyszłych użytkowników ul. 1 Maja 61</t>
  </si>
  <si>
    <t>Budowa Gminnego Punktu Zbierania Odpadów Niebezpiecznych</t>
  </si>
  <si>
    <t>Budowa i modernizacja boisk</t>
  </si>
  <si>
    <t>Miejski Ośrodek Sportu i Rekreacji</t>
  </si>
  <si>
    <t>1.1.2.1</t>
  </si>
  <si>
    <t>1.1.2.2</t>
  </si>
  <si>
    <t>1.1.2.5</t>
  </si>
  <si>
    <t>1.1.2.8</t>
  </si>
  <si>
    <t>1.1.2.9</t>
  </si>
  <si>
    <t>1.1.2.12</t>
  </si>
  <si>
    <t>1.1.2.13</t>
  </si>
  <si>
    <t>1.1.2.14</t>
  </si>
  <si>
    <t>1.1.2.15</t>
  </si>
  <si>
    <t>1.1.1.2</t>
  </si>
  <si>
    <t>1.1.1.3</t>
  </si>
  <si>
    <t>1.1.1.1</t>
  </si>
  <si>
    <t>1.1.1.6</t>
  </si>
  <si>
    <t>1.1.1.7</t>
  </si>
  <si>
    <t>1.1.1.11</t>
  </si>
  <si>
    <t>1.1.1.13</t>
  </si>
  <si>
    <t>1.1.1.14</t>
  </si>
  <si>
    <t>1.1.1.15</t>
  </si>
  <si>
    <t>1.1.1.18</t>
  </si>
  <si>
    <t>1.1.1.20</t>
  </si>
  <si>
    <t>Przebudowa ulicy Zdziebły</t>
  </si>
  <si>
    <t>dostosowanie bazy treningowej drużyn piłkarskich do obowiązujących standardów</t>
  </si>
  <si>
    <t>dostosowanie pomieszczenia garażu w siedzibie MZN z przeznaczeniem na archiwum z dostosowaniem do wymogów w zakresie bezpieczeństwa informacji</t>
  </si>
  <si>
    <t xml:space="preserve">dostosowanie obiektu do potrzeb przyszłych użytkowników w zakresie przepisów przeciwpożarowych </t>
  </si>
  <si>
    <t>wydzielenie odpadów niebezpiecznych ze strumienia odpadów komunalnych celem ich unieszkodliwienia</t>
  </si>
  <si>
    <t>Europejskie doświadczenie nauczycieli szansą na sukces każdego ucznia</t>
  </si>
  <si>
    <t>1.1.1.44</t>
  </si>
  <si>
    <t>Wydatki na programy, projekty lub zadania związane z programami realizowanymi z udziałem środków, o których mowa w art. 5 ust. 1 pkt 2 i 3 ustawy z dnia 27 sierpnia 2009. r. o finansach publicznych (Dz. U. z 2017 r., poz. 2077, z późn. zm.) z tego:</t>
  </si>
  <si>
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 </t>
  </si>
  <si>
    <t>wyrównanie szans edukacyjnych, wspieranie pokonywania niepowodzeń szkolnych, rozwój wymiaru europejskiego szkoły, upowszechnienie zasad tolerancji miedzykulturowej</t>
  </si>
  <si>
    <t>poprawa jakości kształcenia poprzez zajęcia: wyrównawcze, dodatkowe, doradztwa zawodowego i przedsiębiorczości oraz utworzenie klasopracowni przedmiotowych i doposażenie szkoły w pomoce dydaktyczne i narzędzia ICT wspomagające pracę z uczniem</t>
  </si>
  <si>
    <t xml:space="preserve">stworzenie skoordynowanego systemu wsparcia dla uczestników projektu w wieku 60+ nie w pełni samodzielnych w szczególności osób wchodzących w stan samotności i niesamodzielności </t>
  </si>
  <si>
    <t>zakup niezbędnego sprzętu i narzędzi informatycznych do zbudowania i sprawnego prowadzenia systemu e-usług</t>
  </si>
  <si>
    <t>1.1.1.45</t>
  </si>
  <si>
    <t>Aktywni zawodowo odnowieni społecznie w ramach Lokalnego Programu Rewitalizacji Jastrzębia-Zdroju</t>
  </si>
  <si>
    <t>aktywizacja zawodowa 27 osób bezrobotnych zarejestrowanych w PUP powyżej 30 roku życia, pośrednictwo pracy, staże, prace interwencyjne</t>
  </si>
  <si>
    <t>1.3.2.55</t>
  </si>
  <si>
    <t>Termomodernizacja obiektów oświatowych</t>
  </si>
  <si>
    <t>kompleksowa termomodernizacja  budynku szkoły</t>
  </si>
  <si>
    <t xml:space="preserve">Profesjonalne pracownie w Jastrzębiu-Zdroju </t>
  </si>
  <si>
    <t>1.1.2.16</t>
  </si>
  <si>
    <t>wzmocnienie atrakcyjności i podniesienie jakości oferty edukacyjnej jastrzębskich szkół prowadzących kształcenie zawodowe, służące podniesieniu zdolności uczniów do przyszłego zatrudnienia, a także promocja kształcenia zawodowego</t>
  </si>
  <si>
    <t>Wykorzystanie odnawialnych źródeł energii na Kąpielisku Zdrój w Jastrzębiu-Zdroju</t>
  </si>
  <si>
    <t>1.1.2.17</t>
  </si>
  <si>
    <t>Postindustrialne dziedzictwo pogranicza</t>
  </si>
  <si>
    <t>popularyzacja, rozwój i promocja dziedzictwa postindustrialnego regionu Górnego Śląska</t>
  </si>
  <si>
    <t>1.3.2.56</t>
  </si>
  <si>
    <t>Remont i przebudowa basenu krytego przy ul. Harcerskiej</t>
  </si>
  <si>
    <t>poszerzenie bazy sportowo-rekreacyjnej w mieście</t>
  </si>
  <si>
    <t>1.3.2.57</t>
  </si>
  <si>
    <t>Zagospodarowanie terenu ul. K. Paryskiej 9</t>
  </si>
  <si>
    <t>możliwość prowadzenia działalności kulturalnej dla lokalnej społeczności</t>
  </si>
  <si>
    <t>1.3.2.58</t>
  </si>
  <si>
    <t>Przebudowa wiaduktu wraz z drogami dojazdowymi w ciągu drogi 933 w Jastrzębiu-Zdroju</t>
  </si>
  <si>
    <t>poprawa układu komunikacyjnego w Mieście</t>
  </si>
  <si>
    <t>1.3.2.59</t>
  </si>
  <si>
    <t>Zagospodarowanie terenów miejskich</t>
  </si>
  <si>
    <t>poszerzenie bazy sportowo-rekreacyjnej</t>
  </si>
  <si>
    <t>Ośrodek Wsparcia Ekonomii Społecznej Subregionu Zachodniego</t>
  </si>
  <si>
    <t>podniesienie potencjału sektora ekonomii społecznej oraz zwiększenie szans na zatrudnienie osób wykluczonych i zagrożonych wykluczeniem społecznym z terenu subregionu zachodniego woj. śląskiego</t>
  </si>
  <si>
    <t>Wykorzystanie odnawialnych źródeł energii w SP 18 w Jastrzębiu-Zdroju</t>
  </si>
  <si>
    <t>Zwiększenie efektywności energetycznej w budynku SP 18 w Jastrzębiu-Zdroju</t>
  </si>
  <si>
    <t>zwiększenie efektywności energetycznej w SP 18</t>
  </si>
  <si>
    <t>Śląskie pogranicze - wspólna historia miast Hawierzów, Jastrzębie-Zdrój, Karwina</t>
  </si>
  <si>
    <t>zintegrowanie mieszkańców trzech miast poprzez ich aktywny udział w wydarzeniach oferowanych przez partnerskie samorządy</t>
  </si>
  <si>
    <t>V polsko-czeskie spotkania branżowe</t>
  </si>
  <si>
    <t>stymulowanie i aranżowanie współpracy i wzajemnych relacji między samorządami  Jastrzębia-Zdroju, Karviny i Hawierzowa wraz z instytucjami z różnych obszarów życia społecznego</t>
  </si>
  <si>
    <t>promocja projektu, delegacje</t>
  </si>
  <si>
    <t>wzmocnienie atrakcyjności i podniesienie jakości oferty edukacyjnej jastrzębskich szkół prowadzących kształcenie zawodowe, służące podniesieniu zdolności uczniów do przyszłego zatrudnienia -promocja</t>
  </si>
  <si>
    <t>1.3.2.60</t>
  </si>
  <si>
    <t>Przebudowa drogi - ul. Szotkowicka do granicy z gminą Godów</t>
  </si>
  <si>
    <t>Strażak bez granic</t>
  </si>
  <si>
    <t>organizacja i uczestnictwo w Pokazach Zabytkowych Strażackich Sikawek Konnych wraz z przeprowadzeniem konkurencji bojowej „Jak dawniej gaszono pożary”, stworzenie międzynarodowej komisji sędziowskiej oraz wspólny wyjazd drużyn obu jednostek OSP i SDH oraz funkcjonariuszy PSP na Europejskie i Krajowe Zawody Sikawek Konnych</t>
  </si>
  <si>
    <t>1.3.2.61</t>
  </si>
  <si>
    <t>Przebudowa skrzyżowania ulic Al. Piłsudskiego-Graniczna-Północna</t>
  </si>
  <si>
    <t>Przebudowa skrzyżowania ul. A. Krajowej - Ranoszka z os. Złote Łany</t>
  </si>
  <si>
    <t>1.3.2.62</t>
  </si>
  <si>
    <t>1.3.2.63</t>
  </si>
  <si>
    <t>Budowa łącznika ul. Strażacka - Stodoły</t>
  </si>
  <si>
    <t>Łączność ponad granicami - Zintensyfikowanie komunikacyjnego potencjału SM Jastrzębie-Zdrój z MP Karwina</t>
  </si>
  <si>
    <t>zintensyfikownaie działań prewencyjnych o charakterze transgranicznym, prowadzących przez obie jednostki</t>
  </si>
  <si>
    <t xml:space="preserve">do Uchwały Nr </t>
  </si>
  <si>
    <t>z dnia 30 maja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</si>
</sst>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#,##0_ ;[Red]\-#,##0\ "/>
    <numFmt numFmtId="166" formatCode="0.000%"/>
    <numFmt numFmtId="167" formatCode="#,##0.00_ ;[Red]\-#,##0.00\ 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000066"/>
      <name val="Arial"/>
      <family val="2"/>
      <charset val="238"/>
    </font>
    <font>
      <b/>
      <sz val="9"/>
      <color rgb="FF000066"/>
      <name val="Arial"/>
      <family val="2"/>
      <charset val="238"/>
    </font>
    <font>
      <sz val="10"/>
      <color rgb="FF000066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i/>
      <sz val="10"/>
      <color rgb="FF000066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8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362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10" fillId="0" borderId="0" xfId="0" applyFont="1"/>
    <xf numFmtId="3" fontId="10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10" fontId="10" fillId="3" borderId="1" xfId="1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65" fontId="17" fillId="4" borderId="1" xfId="2" applyNumberFormat="1" applyFont="1" applyFill="1" applyBorder="1" applyAlignment="1">
      <alignment vertical="center" shrinkToFit="1"/>
    </xf>
    <xf numFmtId="3" fontId="3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vertical="center" wrapText="1"/>
    </xf>
    <xf numFmtId="10" fontId="19" fillId="2" borderId="1" xfId="1" applyNumberFormat="1" applyFont="1" applyFill="1" applyBorder="1" applyAlignment="1">
      <alignment vertical="center" wrapText="1"/>
    </xf>
    <xf numFmtId="10" fontId="22" fillId="3" borderId="1" xfId="1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/>
    <xf numFmtId="3" fontId="23" fillId="3" borderId="1" xfId="0" applyNumberFormat="1" applyFont="1" applyFill="1" applyBorder="1" applyAlignment="1">
      <alignment vertical="center" wrapText="1"/>
    </xf>
    <xf numFmtId="3" fontId="19" fillId="3" borderId="1" xfId="0" applyNumberFormat="1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3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 wrapText="1"/>
    </xf>
    <xf numFmtId="3" fontId="18" fillId="6" borderId="1" xfId="0" applyNumberFormat="1" applyFont="1" applyFill="1" applyBorder="1" applyAlignment="1">
      <alignment vertical="center" wrapText="1"/>
    </xf>
    <xf numFmtId="3" fontId="11" fillId="6" borderId="1" xfId="0" applyNumberFormat="1" applyFont="1" applyFill="1" applyBorder="1" applyAlignment="1">
      <alignment vertical="center" wrapText="1"/>
    </xf>
    <xf numFmtId="3" fontId="21" fillId="6" borderId="1" xfId="0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3" fontId="19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6" borderId="6" xfId="0" applyNumberFormat="1" applyFont="1" applyFill="1" applyBorder="1" applyAlignment="1">
      <alignment vertical="center" wrapText="1"/>
    </xf>
    <xf numFmtId="3" fontId="14" fillId="6" borderId="4" xfId="0" applyNumberFormat="1" applyFont="1" applyFill="1" applyBorder="1" applyAlignment="1">
      <alignment vertical="center" wrapText="1"/>
    </xf>
    <xf numFmtId="3" fontId="19" fillId="6" borderId="4" xfId="0" applyNumberFormat="1" applyFont="1" applyFill="1" applyBorder="1" applyAlignment="1">
      <alignment vertical="center" wrapText="1"/>
    </xf>
    <xf numFmtId="3" fontId="19" fillId="6" borderId="5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167" fontId="17" fillId="4" borderId="1" xfId="2" applyNumberFormat="1" applyFont="1" applyFill="1" applyBorder="1" applyAlignment="1">
      <alignment vertical="center" shrinkToFit="1"/>
    </xf>
    <xf numFmtId="3" fontId="19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1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19" fillId="2" borderId="5" xfId="0" applyNumberFormat="1" applyFont="1" applyFill="1" applyBorder="1" applyAlignment="1">
      <alignment vertical="center" wrapText="1"/>
    </xf>
    <xf numFmtId="2" fontId="19" fillId="2" borderId="1" xfId="1" applyNumberFormat="1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vertical="center" wrapText="1"/>
    </xf>
    <xf numFmtId="3" fontId="22" fillId="3" borderId="1" xfId="0" applyNumberFormat="1" applyFont="1" applyFill="1" applyBorder="1" applyAlignment="1">
      <alignment vertical="center" wrapText="1"/>
    </xf>
    <xf numFmtId="3" fontId="19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4" fontId="23" fillId="2" borderId="1" xfId="1" applyNumberFormat="1" applyFont="1" applyFill="1" applyBorder="1" applyAlignment="1">
      <alignment vertical="center" wrapText="1"/>
    </xf>
    <xf numFmtId="3" fontId="5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8" fillId="6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4" fontId="23" fillId="3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19" fillId="2" borderId="6" xfId="0" applyNumberFormat="1" applyFont="1" applyFill="1" applyBorder="1" applyAlignment="1">
      <alignment vertical="center" wrapText="1"/>
    </xf>
    <xf numFmtId="4" fontId="21" fillId="6" borderId="1" xfId="0" applyNumberFormat="1" applyFont="1" applyFill="1" applyBorder="1" applyAlignment="1">
      <alignment vertical="center" wrapText="1"/>
    </xf>
    <xf numFmtId="4" fontId="19" fillId="6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3" fontId="0" fillId="0" borderId="0" xfId="0" applyNumberFormat="1" applyFill="1"/>
    <xf numFmtId="4" fontId="3" fillId="0" borderId="0" xfId="0" applyNumberFormat="1" applyFont="1"/>
    <xf numFmtId="4" fontId="23" fillId="0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" fontId="10" fillId="0" borderId="0" xfId="0" applyNumberFormat="1" applyFont="1"/>
    <xf numFmtId="4" fontId="18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4" fontId="19" fillId="0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/>
    <xf numFmtId="0" fontId="12" fillId="2" borderId="1" xfId="0" applyFont="1" applyFill="1" applyBorder="1" applyAlignment="1">
      <alignment vertical="center" wrapText="1"/>
    </xf>
    <xf numFmtId="165" fontId="12" fillId="4" borderId="1" xfId="2" applyNumberFormat="1" applyFont="1" applyFill="1" applyBorder="1" applyAlignment="1">
      <alignment vertical="center" shrinkToFit="1"/>
    </xf>
    <xf numFmtId="3" fontId="23" fillId="2" borderId="1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" fontId="19" fillId="2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4" fontId="19" fillId="6" borderId="5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12" fillId="0" borderId="0" xfId="0" applyNumberFormat="1" applyFont="1"/>
    <xf numFmtId="0" fontId="3" fillId="0" borderId="0" xfId="0" applyFont="1"/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4" fontId="19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/>
    <xf numFmtId="4" fontId="19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4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11" fillId="0" borderId="0" xfId="0" applyFont="1" applyFill="1"/>
    <xf numFmtId="0" fontId="4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3" fontId="5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3" fontId="31" fillId="2" borderId="1" xfId="0" applyNumberFormat="1" applyFont="1" applyFill="1" applyBorder="1" applyAlignment="1">
      <alignment vertical="center" wrapText="1"/>
    </xf>
    <xf numFmtId="0" fontId="34" fillId="0" borderId="0" xfId="0" applyFont="1"/>
    <xf numFmtId="0" fontId="11" fillId="0" borderId="2" xfId="0" applyFont="1" applyFill="1" applyBorder="1" applyAlignment="1">
      <alignment wrapText="1"/>
    </xf>
    <xf numFmtId="0" fontId="0" fillId="3" borderId="0" xfId="0" applyFill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3" fillId="3" borderId="0" xfId="0" applyFont="1" applyFill="1"/>
    <xf numFmtId="0" fontId="0" fillId="0" borderId="0" xfId="0" applyFill="1"/>
    <xf numFmtId="0" fontId="33" fillId="0" borderId="1" xfId="0" applyFont="1" applyFill="1" applyBorder="1" applyAlignment="1">
      <alignment vertical="center" wrapText="1"/>
    </xf>
    <xf numFmtId="3" fontId="33" fillId="0" borderId="1" xfId="0" applyNumberFormat="1" applyFont="1" applyFill="1" applyBorder="1" applyAlignment="1">
      <alignment vertical="center" wrapText="1"/>
    </xf>
    <xf numFmtId="0" fontId="36" fillId="0" borderId="0" xfId="0" applyFont="1"/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vertical="center" wrapText="1"/>
    </xf>
    <xf numFmtId="0" fontId="34" fillId="0" borderId="0" xfId="0" applyFont="1" applyFill="1"/>
    <xf numFmtId="0" fontId="38" fillId="0" borderId="0" xfId="0" applyFont="1" applyFill="1"/>
    <xf numFmtId="0" fontId="26" fillId="0" borderId="0" xfId="0" applyFont="1"/>
    <xf numFmtId="3" fontId="21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12" fillId="0" borderId="0" xfId="0" applyFont="1" applyFill="1" applyAlignment="1">
      <alignment wrapText="1"/>
    </xf>
    <xf numFmtId="4" fontId="19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6" fillId="0" borderId="0" xfId="0" applyFont="1" applyFill="1"/>
    <xf numFmtId="3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3" fillId="0" borderId="1" xfId="0" applyFont="1" applyFill="1" applyBorder="1" applyAlignment="1">
      <alignment vertical="center" wrapText="1"/>
    </xf>
    <xf numFmtId="0" fontId="3" fillId="9" borderId="0" xfId="0" applyFont="1" applyFill="1"/>
    <xf numFmtId="4" fontId="19" fillId="2" borderId="3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0" fillId="7" borderId="1" xfId="0" applyNumberFormat="1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3" fontId="12" fillId="7" borderId="1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vertical="center" wrapText="1"/>
    </xf>
    <xf numFmtId="0" fontId="35" fillId="3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3" fontId="12" fillId="8" borderId="1" xfId="0" applyNumberFormat="1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</cellXfs>
  <cellStyles count="3">
    <cellStyle name="Normalny" xfId="0" builtinId="0"/>
    <cellStyle name="Normalny 6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FF99FF"/>
      <color rgb="FFCDE6FF"/>
      <color rgb="FF92D050"/>
      <color rgb="FF66FF99"/>
      <color rgb="FFFFFFFF"/>
      <color rgb="FFFBFAF7"/>
      <color rgb="FFEDE8DB"/>
      <color rgb="FF00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9"/>
  <sheetViews>
    <sheetView zoomScaleNormal="100" workbookViewId="0">
      <pane xSplit="9" ySplit="8" topLeftCell="V109" activePane="bottomRight" state="frozen"/>
      <selection pane="topRight" activeCell="J1" sqref="J1"/>
      <selection pane="bottomLeft" activeCell="A8" sqref="A8"/>
      <selection pane="bottomRight" sqref="A1:AA116"/>
    </sheetView>
  </sheetViews>
  <sheetFormatPr defaultRowHeight="12.75"/>
  <cols>
    <col min="1" max="2" width="9.140625" style="1"/>
    <col min="3" max="3" width="20.85546875" style="1" customWidth="1"/>
    <col min="4" max="4" width="24" style="1" customWidth="1"/>
    <col min="5" max="5" width="46.28515625" style="1" customWidth="1"/>
    <col min="6" max="6" width="12.5703125" style="2" hidden="1" customWidth="1"/>
    <col min="7" max="7" width="11.28515625" style="2" hidden="1" customWidth="1"/>
    <col min="8" max="8" width="11.5703125" style="2" hidden="1" customWidth="1"/>
    <col min="9" max="9" width="2.140625" style="2" hidden="1" customWidth="1"/>
    <col min="10" max="10" width="15.140625" style="1" hidden="1" customWidth="1"/>
    <col min="11" max="11" width="15.5703125" style="80" hidden="1" customWidth="1"/>
    <col min="12" max="12" width="15.140625" style="1" hidden="1" customWidth="1"/>
    <col min="13" max="13" width="15.28515625" style="111" hidden="1" customWidth="1"/>
    <col min="14" max="14" width="15" style="123" hidden="1" customWidth="1"/>
    <col min="15" max="15" width="15.42578125" style="1" hidden="1" customWidth="1"/>
    <col min="16" max="16" width="15" style="1" hidden="1" customWidth="1"/>
    <col min="17" max="17" width="15" style="150" hidden="1" customWidth="1"/>
    <col min="18" max="18" width="15" style="187" hidden="1" customWidth="1"/>
    <col min="19" max="19" width="15" style="55" hidden="1" customWidth="1"/>
    <col min="20" max="20" width="18.140625" style="241" hidden="1" customWidth="1"/>
    <col min="21" max="21" width="18.140625" style="55" hidden="1" customWidth="1"/>
    <col min="22" max="22" width="18.140625" style="55" customWidth="1"/>
    <col min="23" max="23" width="14.42578125" style="55" customWidth="1"/>
    <col min="24" max="24" width="13" style="115" customWidth="1"/>
    <col min="25" max="25" width="12.85546875" style="115" customWidth="1"/>
    <col min="26" max="27" width="13.5703125" style="115" customWidth="1"/>
    <col min="28" max="28" width="13.85546875" style="1" bestFit="1" customWidth="1"/>
    <col min="29" max="29" width="15.85546875" style="1" customWidth="1"/>
    <col min="30" max="30" width="14.7109375" style="1" customWidth="1"/>
    <col min="31" max="31" width="11.7109375" style="1" customWidth="1"/>
    <col min="32" max="32" width="13.7109375" style="1" customWidth="1"/>
    <col min="33" max="33" width="14.28515625" style="1" customWidth="1"/>
    <col min="34" max="16384" width="9.140625" style="1"/>
  </cols>
  <sheetData>
    <row r="1" spans="1:28" s="36" customFormat="1">
      <c r="K1" s="80"/>
      <c r="M1" s="111"/>
      <c r="N1" s="123"/>
      <c r="Q1" s="150"/>
      <c r="R1" s="187"/>
      <c r="S1" s="55"/>
      <c r="T1" s="139"/>
      <c r="U1" s="139"/>
      <c r="V1" s="55"/>
      <c r="W1" s="55"/>
      <c r="X1" s="115"/>
      <c r="Y1" s="139" t="s">
        <v>112</v>
      </c>
      <c r="Z1" s="115"/>
      <c r="AA1" s="115"/>
    </row>
    <row r="2" spans="1:28" s="36" customFormat="1">
      <c r="E2" s="183"/>
      <c r="K2" s="80"/>
      <c r="M2" s="111"/>
      <c r="N2" s="123"/>
      <c r="Q2" s="150"/>
      <c r="R2" s="187"/>
      <c r="S2" s="55"/>
      <c r="T2" s="140"/>
      <c r="U2" s="140"/>
      <c r="V2" s="175"/>
      <c r="W2" s="145"/>
      <c r="X2" s="115"/>
      <c r="Y2" s="140" t="s">
        <v>619</v>
      </c>
      <c r="Z2" s="237"/>
      <c r="AA2" s="145"/>
      <c r="AB2" s="183"/>
    </row>
    <row r="3" spans="1:28" ht="15">
      <c r="A3" s="8" t="s">
        <v>115</v>
      </c>
      <c r="E3" s="34"/>
      <c r="T3" s="140"/>
      <c r="U3" s="140"/>
      <c r="V3" s="175"/>
      <c r="W3" s="145"/>
      <c r="Y3" s="140" t="s">
        <v>219</v>
      </c>
      <c r="Z3" s="237"/>
      <c r="AA3" s="145"/>
    </row>
    <row r="4" spans="1:28">
      <c r="T4" s="140"/>
      <c r="U4" s="140"/>
      <c r="V4" s="175"/>
      <c r="W4" s="145"/>
      <c r="Y4" s="140" t="s">
        <v>620</v>
      </c>
      <c r="Z4" s="237"/>
      <c r="AA4" s="145"/>
    </row>
    <row r="5" spans="1:28" s="53" customFormat="1">
      <c r="K5" s="80"/>
      <c r="M5" s="111"/>
      <c r="N5" s="123"/>
      <c r="Q5" s="150"/>
      <c r="R5" s="187"/>
      <c r="S5" s="55"/>
      <c r="T5" s="241"/>
      <c r="U5" s="55"/>
      <c r="V5" s="55"/>
      <c r="W5" s="55"/>
      <c r="X5" s="115"/>
      <c r="Y5" s="115"/>
      <c r="Z5" s="115"/>
      <c r="AA5" s="115"/>
    </row>
    <row r="6" spans="1:28">
      <c r="E6" s="34"/>
      <c r="F6" s="34"/>
      <c r="G6" s="34"/>
      <c r="H6" s="34"/>
      <c r="I6" s="34"/>
      <c r="J6" s="35"/>
      <c r="K6" s="35"/>
      <c r="L6" s="35"/>
      <c r="M6" s="35"/>
      <c r="N6" s="35"/>
      <c r="O6" s="35"/>
      <c r="P6" s="36"/>
      <c r="Z6" s="177" t="s">
        <v>111</v>
      </c>
    </row>
    <row r="7" spans="1:28" ht="30" customHeight="1">
      <c r="A7" s="291" t="s">
        <v>0</v>
      </c>
      <c r="B7" s="292"/>
      <c r="C7" s="292"/>
      <c r="D7" s="293"/>
      <c r="E7" s="294"/>
      <c r="F7" s="60" t="s">
        <v>103</v>
      </c>
      <c r="G7" s="60" t="s">
        <v>104</v>
      </c>
      <c r="H7" s="60" t="s">
        <v>105</v>
      </c>
      <c r="I7" s="60" t="s">
        <v>110</v>
      </c>
      <c r="J7" s="61" t="s">
        <v>116</v>
      </c>
      <c r="K7" s="81" t="s">
        <v>117</v>
      </c>
      <c r="L7" s="112" t="s">
        <v>204</v>
      </c>
      <c r="M7" s="113" t="s">
        <v>205</v>
      </c>
      <c r="N7" s="124" t="s">
        <v>212</v>
      </c>
      <c r="O7" s="113" t="s">
        <v>213</v>
      </c>
      <c r="P7" s="153" t="s">
        <v>215</v>
      </c>
      <c r="Q7" s="113" t="s">
        <v>214</v>
      </c>
      <c r="R7" s="188" t="s">
        <v>216</v>
      </c>
      <c r="S7" s="113" t="s">
        <v>217</v>
      </c>
      <c r="T7" s="242" t="s">
        <v>530</v>
      </c>
      <c r="U7" s="113" t="s">
        <v>531</v>
      </c>
      <c r="V7" s="61" t="s">
        <v>206</v>
      </c>
      <c r="W7" s="61" t="s">
        <v>207</v>
      </c>
      <c r="X7" s="116" t="s">
        <v>208</v>
      </c>
      <c r="Y7" s="116" t="s">
        <v>209</v>
      </c>
      <c r="Z7" s="116" t="s">
        <v>210</v>
      </c>
      <c r="AA7" s="116" t="s">
        <v>211</v>
      </c>
    </row>
    <row r="8" spans="1:28" s="3" customFormat="1" ht="21.75" customHeight="1">
      <c r="A8" s="62" t="s">
        <v>147</v>
      </c>
      <c r="B8" s="62"/>
      <c r="C8" s="63"/>
      <c r="D8" s="287"/>
      <c r="E8" s="288"/>
      <c r="F8" s="64">
        <f t="shared" ref="F8:K8" si="0">F9+F17</f>
        <v>344742918</v>
      </c>
      <c r="G8" s="64">
        <f t="shared" si="0"/>
        <v>370590936</v>
      </c>
      <c r="H8" s="64">
        <f t="shared" si="0"/>
        <v>395074930</v>
      </c>
      <c r="I8" s="64">
        <f t="shared" si="0"/>
        <v>359287065.69</v>
      </c>
      <c r="J8" s="126">
        <f t="shared" si="0"/>
        <v>417945156</v>
      </c>
      <c r="K8" s="126">
        <f t="shared" si="0"/>
        <v>394190910</v>
      </c>
      <c r="L8" s="126">
        <f t="shared" ref="L8:W8" si="1">L9+L17</f>
        <v>376922057</v>
      </c>
      <c r="M8" s="126">
        <f>M9+M17</f>
        <v>332911056</v>
      </c>
      <c r="N8" s="126">
        <f>N9+N17</f>
        <v>366123713</v>
      </c>
      <c r="O8" s="126">
        <f t="shared" si="1"/>
        <v>377844808.73000002</v>
      </c>
      <c r="P8" s="126">
        <f t="shared" si="1"/>
        <v>402670607.25999999</v>
      </c>
      <c r="Q8" s="126">
        <f>Q9+Q17</f>
        <v>440774504.63</v>
      </c>
      <c r="R8" s="126">
        <f>R9+R17</f>
        <v>406202483.68000001</v>
      </c>
      <c r="S8" s="126">
        <f t="shared" si="1"/>
        <v>431102908.35000002</v>
      </c>
      <c r="T8" s="133">
        <f t="shared" ref="T8" si="2">T9+T17</f>
        <v>438986249.94999999</v>
      </c>
      <c r="U8" s="133">
        <f t="shared" si="1"/>
        <v>452405275.00999999</v>
      </c>
      <c r="V8" s="133">
        <f t="shared" si="1"/>
        <v>469415117.67000002</v>
      </c>
      <c r="W8" s="67">
        <f t="shared" si="1"/>
        <v>457349246</v>
      </c>
      <c r="X8" s="67">
        <f>X9+X17</f>
        <v>440926418</v>
      </c>
      <c r="Y8" s="67">
        <f>Y9+Y17</f>
        <v>441205772</v>
      </c>
      <c r="Z8" s="67">
        <f>Z9+Z17</f>
        <v>437919297</v>
      </c>
      <c r="AA8" s="67">
        <f>AA9+AA17</f>
        <v>437919297</v>
      </c>
    </row>
    <row r="9" spans="1:28" s="4" customFormat="1" ht="20.25" customHeight="1">
      <c r="A9" s="9" t="s">
        <v>1</v>
      </c>
      <c r="B9" s="276" t="s">
        <v>148</v>
      </c>
      <c r="C9" s="276"/>
      <c r="D9" s="276"/>
      <c r="E9" s="276"/>
      <c r="F9" s="12">
        <v>323769383</v>
      </c>
      <c r="G9" s="12">
        <v>342968699</v>
      </c>
      <c r="H9" s="12">
        <v>308364108</v>
      </c>
      <c r="I9" s="12">
        <v>315250816.94</v>
      </c>
      <c r="J9" s="142">
        <v>330201229</v>
      </c>
      <c r="K9" s="142">
        <v>340744204</v>
      </c>
      <c r="L9" s="142">
        <v>333469485</v>
      </c>
      <c r="M9" s="142">
        <v>291332910</v>
      </c>
      <c r="N9" s="142">
        <v>335610624</v>
      </c>
      <c r="O9" s="142">
        <v>343759508.56</v>
      </c>
      <c r="P9" s="142">
        <v>391836323.38</v>
      </c>
      <c r="Q9" s="142">
        <v>418514563.19999999</v>
      </c>
      <c r="R9" s="180">
        <v>399069673.80000001</v>
      </c>
      <c r="S9" s="180">
        <v>428119923.80000001</v>
      </c>
      <c r="T9" s="180">
        <v>425552511.24000001</v>
      </c>
      <c r="U9" s="180">
        <v>444195396.94999999</v>
      </c>
      <c r="V9" s="180">
        <v>442128262.67000002</v>
      </c>
      <c r="W9" s="233">
        <v>440940092</v>
      </c>
      <c r="X9" s="233">
        <v>436046969</v>
      </c>
      <c r="Y9" s="233">
        <v>441205772</v>
      </c>
      <c r="Z9" s="233">
        <v>437919297</v>
      </c>
      <c r="AA9" s="233">
        <f>Z9</f>
        <v>437919297</v>
      </c>
      <c r="AB9" s="196"/>
    </row>
    <row r="10" spans="1:28" ht="14.25">
      <c r="A10" s="261" t="s">
        <v>2</v>
      </c>
      <c r="B10" s="261"/>
      <c r="C10" s="261"/>
      <c r="D10" s="261"/>
      <c r="E10" s="261"/>
      <c r="F10" s="13"/>
      <c r="G10" s="13"/>
      <c r="H10" s="13"/>
      <c r="I10" s="13"/>
      <c r="J10" s="284"/>
      <c r="K10" s="284"/>
      <c r="L10" s="284"/>
      <c r="M10" s="284"/>
      <c r="N10" s="284"/>
      <c r="O10" s="284"/>
      <c r="P10" s="284"/>
      <c r="Q10" s="154"/>
      <c r="R10" s="167"/>
      <c r="S10" s="167"/>
      <c r="T10" s="167"/>
      <c r="U10" s="167"/>
      <c r="V10" s="167"/>
      <c r="W10" s="181"/>
      <c r="X10" s="181"/>
      <c r="Y10" s="181"/>
      <c r="Z10" s="181"/>
      <c r="AA10" s="181"/>
    </row>
    <row r="11" spans="1:28" ht="14.25">
      <c r="A11" s="10" t="s">
        <v>3</v>
      </c>
      <c r="B11" s="275"/>
      <c r="C11" s="275"/>
      <c r="D11" s="261" t="s">
        <v>4</v>
      </c>
      <c r="E11" s="261"/>
      <c r="F11" s="13">
        <v>69201902</v>
      </c>
      <c r="G11" s="13">
        <v>75371773</v>
      </c>
      <c r="H11" s="13">
        <v>81700000</v>
      </c>
      <c r="I11" s="13">
        <v>80300706</v>
      </c>
      <c r="J11" s="146">
        <v>83500000</v>
      </c>
      <c r="K11" s="146">
        <v>86912650</v>
      </c>
      <c r="L11" s="146">
        <v>90500000</v>
      </c>
      <c r="M11" s="146">
        <v>96320053</v>
      </c>
      <c r="N11" s="146">
        <v>93000000</v>
      </c>
      <c r="O11" s="146">
        <v>103255693</v>
      </c>
      <c r="P11" s="146">
        <v>93000000</v>
      </c>
      <c r="Q11" s="149">
        <v>105228310</v>
      </c>
      <c r="R11" s="186">
        <v>102334476</v>
      </c>
      <c r="S11" s="178">
        <v>104613438</v>
      </c>
      <c r="T11" s="240">
        <v>107356637</v>
      </c>
      <c r="U11" s="192">
        <v>114178997</v>
      </c>
      <c r="V11" s="243">
        <v>119084884</v>
      </c>
      <c r="W11" s="120">
        <f>V11</f>
        <v>119084884</v>
      </c>
      <c r="X11" s="120">
        <f>W11</f>
        <v>119084884</v>
      </c>
      <c r="Y11" s="120">
        <f t="shared" ref="Y11:AA12" si="3">X11</f>
        <v>119084884</v>
      </c>
      <c r="Z11" s="120">
        <f t="shared" si="3"/>
        <v>119084884</v>
      </c>
      <c r="AA11" s="120">
        <f t="shared" si="3"/>
        <v>119084884</v>
      </c>
    </row>
    <row r="12" spans="1:28" ht="14.25">
      <c r="A12" s="10" t="s">
        <v>5</v>
      </c>
      <c r="B12" s="275"/>
      <c r="C12" s="275"/>
      <c r="D12" s="261" t="s">
        <v>6</v>
      </c>
      <c r="E12" s="261"/>
      <c r="F12" s="13">
        <v>14114281</v>
      </c>
      <c r="G12" s="13">
        <v>22590433</v>
      </c>
      <c r="H12" s="13">
        <v>9200000</v>
      </c>
      <c r="I12" s="13">
        <v>11233456.439999999</v>
      </c>
      <c r="J12" s="146">
        <v>7100000</v>
      </c>
      <c r="K12" s="146">
        <v>4951059</v>
      </c>
      <c r="L12" s="146">
        <v>2900000</v>
      </c>
      <c r="M12" s="146">
        <v>1748013</v>
      </c>
      <c r="N12" s="146">
        <v>2400000</v>
      </c>
      <c r="O12" s="146">
        <v>3254681.52</v>
      </c>
      <c r="P12" s="146">
        <f>2000000-1000000</f>
        <v>1000000</v>
      </c>
      <c r="Q12" s="149">
        <v>591091.23</v>
      </c>
      <c r="R12" s="186">
        <v>2000000</v>
      </c>
      <c r="S12" s="178">
        <v>11754986.73</v>
      </c>
      <c r="T12" s="240">
        <v>4000000</v>
      </c>
      <c r="U12" s="192">
        <v>2830633.8</v>
      </c>
      <c r="V12" s="243">
        <v>4000000</v>
      </c>
      <c r="W12" s="120">
        <v>4000000</v>
      </c>
      <c r="X12" s="120">
        <f>W12</f>
        <v>4000000</v>
      </c>
      <c r="Y12" s="120">
        <f t="shared" si="3"/>
        <v>4000000</v>
      </c>
      <c r="Z12" s="120">
        <f t="shared" si="3"/>
        <v>4000000</v>
      </c>
      <c r="AA12" s="120">
        <f t="shared" si="3"/>
        <v>4000000</v>
      </c>
    </row>
    <row r="13" spans="1:28" ht="14.25">
      <c r="A13" s="10" t="s">
        <v>7</v>
      </c>
      <c r="B13" s="275"/>
      <c r="C13" s="275"/>
      <c r="D13" s="285" t="s">
        <v>146</v>
      </c>
      <c r="E13" s="285"/>
      <c r="F13" s="15"/>
      <c r="G13" s="15"/>
      <c r="H13" s="15"/>
      <c r="I13" s="15"/>
      <c r="J13" s="146">
        <v>63189443</v>
      </c>
      <c r="K13" s="138">
        <v>69190854</v>
      </c>
      <c r="L13" s="146">
        <v>77782170</v>
      </c>
      <c r="M13" s="146">
        <v>44433905</v>
      </c>
      <c r="N13" s="146">
        <v>77617707</v>
      </c>
      <c r="O13" s="146">
        <v>75068010.060000002</v>
      </c>
      <c r="P13" s="138">
        <v>83262297</v>
      </c>
      <c r="Q13" s="138">
        <v>94362696.269999996</v>
      </c>
      <c r="R13" s="138">
        <v>83015074</v>
      </c>
      <c r="S13" s="138">
        <v>90908746.430000007</v>
      </c>
      <c r="T13" s="138">
        <v>91232452</v>
      </c>
      <c r="U13" s="138">
        <v>93325670.260000005</v>
      </c>
      <c r="V13" s="138">
        <v>96265555</v>
      </c>
      <c r="W13" s="121">
        <v>94113556</v>
      </c>
      <c r="X13" s="121">
        <v>95043752</v>
      </c>
      <c r="Y13" s="121">
        <v>95972700</v>
      </c>
      <c r="Z13" s="121">
        <f t="shared" ref="Z13:AA16" si="4">Y13</f>
        <v>95972700</v>
      </c>
      <c r="AA13" s="121">
        <f t="shared" si="4"/>
        <v>95972700</v>
      </c>
    </row>
    <row r="14" spans="1:28" ht="13.5" customHeight="1">
      <c r="A14" s="10" t="s">
        <v>8</v>
      </c>
      <c r="B14" s="22"/>
      <c r="C14" s="24"/>
      <c r="D14" s="179"/>
      <c r="E14" s="176" t="s">
        <v>9</v>
      </c>
      <c r="F14" s="13">
        <v>45567256.43</v>
      </c>
      <c r="G14" s="13">
        <v>54543616.890000001</v>
      </c>
      <c r="H14" s="13">
        <v>38305644</v>
      </c>
      <c r="I14" s="13">
        <v>39876296.920000002</v>
      </c>
      <c r="J14" s="146">
        <v>41256000</v>
      </c>
      <c r="K14" s="146">
        <v>41782658</v>
      </c>
      <c r="L14" s="146">
        <f>42622000+65922</f>
        <v>42687922</v>
      </c>
      <c r="M14" s="138">
        <v>11581365</v>
      </c>
      <c r="N14" s="146">
        <f>43310000+73000</f>
        <v>43383000</v>
      </c>
      <c r="O14" s="146">
        <v>39649739.609999999</v>
      </c>
      <c r="P14" s="146">
        <f>46049000+1301000</f>
        <v>47350000</v>
      </c>
      <c r="Q14" s="149">
        <v>58782010.880000003</v>
      </c>
      <c r="R14" s="186">
        <v>47840000</v>
      </c>
      <c r="S14" s="178">
        <v>55151758.840000004</v>
      </c>
      <c r="T14" s="138">
        <v>52691000</v>
      </c>
      <c r="U14" s="138">
        <v>51777418.700000003</v>
      </c>
      <c r="V14" s="138">
        <f>52267000+1353000</f>
        <v>53620000</v>
      </c>
      <c r="W14" s="121">
        <f>V14*101.25%</f>
        <v>54290250</v>
      </c>
      <c r="X14" s="121">
        <f>W14*101.25%</f>
        <v>54968878.125</v>
      </c>
      <c r="Y14" s="121">
        <f>X14*101.25%</f>
        <v>55655989.1015625</v>
      </c>
      <c r="Z14" s="120">
        <f t="shared" si="4"/>
        <v>55655989.1015625</v>
      </c>
      <c r="AA14" s="120">
        <f t="shared" si="4"/>
        <v>55655989.1015625</v>
      </c>
    </row>
    <row r="15" spans="1:28" ht="14.25">
      <c r="A15" s="10" t="s">
        <v>10</v>
      </c>
      <c r="B15" s="275"/>
      <c r="C15" s="275"/>
      <c r="D15" s="262" t="s">
        <v>11</v>
      </c>
      <c r="E15" s="262"/>
      <c r="F15" s="13">
        <f>80657855+2678202</f>
        <v>83336057</v>
      </c>
      <c r="G15" s="13">
        <f>87726973+3271409</f>
        <v>90998382</v>
      </c>
      <c r="H15" s="13">
        <f>93530114+3779501</f>
        <v>97309615</v>
      </c>
      <c r="I15" s="13">
        <v>98554948</v>
      </c>
      <c r="J15" s="146">
        <f>92838465+5225234</f>
        <v>98063699</v>
      </c>
      <c r="K15" s="146">
        <f>92838465+5225234</f>
        <v>98063699</v>
      </c>
      <c r="L15" s="146">
        <f>92661563+3615603+195200</f>
        <v>96472366</v>
      </c>
      <c r="M15" s="146">
        <f>92777464+3615603+195200</f>
        <v>96588267</v>
      </c>
      <c r="N15" s="146">
        <f>95564745+3274402+146915</f>
        <v>98986062</v>
      </c>
      <c r="O15" s="146">
        <f>95773773+3274402+1599890</f>
        <v>100648065</v>
      </c>
      <c r="P15" s="146">
        <f>94921331+4058358+15115894+195317</f>
        <v>114290900</v>
      </c>
      <c r="Q15" s="149">
        <v>114745809</v>
      </c>
      <c r="R15" s="186">
        <f>94246569+4809775+332600</f>
        <v>99388944</v>
      </c>
      <c r="S15" s="189">
        <v>99712413</v>
      </c>
      <c r="T15" s="138">
        <f>96656783+5151902+232500</f>
        <v>102041185</v>
      </c>
      <c r="U15" s="138">
        <f>97159602+5151902+232500</f>
        <v>102544004</v>
      </c>
      <c r="V15" s="138">
        <f>102544972+5573061+243065</f>
        <v>108361098</v>
      </c>
      <c r="W15" s="121">
        <f>107081280+5573061</f>
        <v>112654341</v>
      </c>
      <c r="X15" s="121">
        <f>102755540+5573061</f>
        <v>108328601</v>
      </c>
      <c r="Y15" s="121">
        <f>106830382+5573061</f>
        <v>112403443</v>
      </c>
      <c r="Z15" s="121">
        <f>103543907+5573061</f>
        <v>109116968</v>
      </c>
      <c r="AA15" s="121">
        <f t="shared" si="4"/>
        <v>109116968</v>
      </c>
      <c r="AB15" s="42"/>
    </row>
    <row r="16" spans="1:28" ht="14.25">
      <c r="A16" s="10" t="s">
        <v>12</v>
      </c>
      <c r="B16" s="275"/>
      <c r="C16" s="275"/>
      <c r="D16" s="261" t="s">
        <v>13</v>
      </c>
      <c r="E16" s="261"/>
      <c r="F16" s="13">
        <v>31772938.27</v>
      </c>
      <c r="G16" s="13">
        <v>31805271.109999999</v>
      </c>
      <c r="H16" s="13">
        <v>33424639</v>
      </c>
      <c r="I16" s="13">
        <v>32916832.960000001</v>
      </c>
      <c r="J16" s="138">
        <f>4690745+266060+5132034+24570810-7131</f>
        <v>34652518</v>
      </c>
      <c r="K16" s="138">
        <f>36332878.08-7272</f>
        <v>36325606.079999998</v>
      </c>
      <c r="L16" s="146">
        <f>3818158+326500+8534227+24004513-7482</f>
        <v>36675916</v>
      </c>
      <c r="M16" s="146">
        <f>387534+3887905+487091+9536607+27339201-7448</f>
        <v>41630890</v>
      </c>
      <c r="N16" s="146">
        <f>441473+1773741+386958+8794633+27678944-7510</f>
        <v>39068239</v>
      </c>
      <c r="O16" s="146">
        <f>410563.06+2299749.27+582281.61+9932809.75+28513140.12</f>
        <v>41738543.810000002</v>
      </c>
      <c r="P16" s="146">
        <f>369471+2445187+619795+9251423.66+55946003.72-7510</f>
        <v>68624370.379999995</v>
      </c>
      <c r="Q16" s="149">
        <f>320502.79+2733327.17+850591.31+9854581.55+66131828.07-7529</f>
        <v>79883301.890000001</v>
      </c>
      <c r="R16" s="138">
        <f>320270+2245058+478723+8240729.83+91018.25+72148476.72-7550</f>
        <v>83516725.799999997</v>
      </c>
      <c r="S16" s="138">
        <f>296034.43+2212376.8+675554+8912210.38+91013.73+80697978</f>
        <v>92885167.340000004</v>
      </c>
      <c r="T16" s="138">
        <f>388832+7774980+623380+8153141.99+14500+77859848.25-7550</f>
        <v>94807132.24000001</v>
      </c>
      <c r="U16" s="138">
        <f>365892.83+6440415.31+690535.13+8602980.55+17275.41+80876503.18+63027.43-7518</f>
        <v>97049111.840000018</v>
      </c>
      <c r="V16" s="138">
        <f>16415+5563875+285180+7216333+24000+76312006.67-7523</f>
        <v>89410286.670000002</v>
      </c>
      <c r="W16" s="121">
        <f>16415+2606198+269811+7648290+24300+76312007-7523</f>
        <v>86869498</v>
      </c>
      <c r="X16" s="121">
        <f>16415+513651+273184+7851476+24604+76312007-7523</f>
        <v>84983814</v>
      </c>
      <c r="Y16" s="121">
        <f>16415+276598+8106181+24604+76312007-7523</f>
        <v>84728282</v>
      </c>
      <c r="Z16" s="121">
        <f t="shared" si="4"/>
        <v>84728282</v>
      </c>
      <c r="AA16" s="121">
        <f t="shared" si="4"/>
        <v>84728282</v>
      </c>
    </row>
    <row r="17" spans="1:31" s="4" customFormat="1" ht="25.5" customHeight="1">
      <c r="A17" s="9" t="s">
        <v>14</v>
      </c>
      <c r="B17" s="276" t="s">
        <v>149</v>
      </c>
      <c r="C17" s="276"/>
      <c r="D17" s="276"/>
      <c r="E17" s="276"/>
      <c r="F17" s="12">
        <v>20973535</v>
      </c>
      <c r="G17" s="12">
        <v>27622237</v>
      </c>
      <c r="H17" s="12">
        <v>86710822</v>
      </c>
      <c r="I17" s="12">
        <v>44036248.75</v>
      </c>
      <c r="J17" s="142">
        <v>87743927</v>
      </c>
      <c r="K17" s="142">
        <v>53446706</v>
      </c>
      <c r="L17" s="142">
        <v>43452572</v>
      </c>
      <c r="M17" s="142">
        <v>41578146</v>
      </c>
      <c r="N17" s="142">
        <v>30513089</v>
      </c>
      <c r="O17" s="142">
        <v>34085300.170000002</v>
      </c>
      <c r="P17" s="142">
        <v>10834283.880000001</v>
      </c>
      <c r="Q17" s="142">
        <v>22259941.43</v>
      </c>
      <c r="R17" s="142">
        <v>7132809.8799999999</v>
      </c>
      <c r="S17" s="142">
        <v>2982984.55</v>
      </c>
      <c r="T17" s="142">
        <v>13433738.710000001</v>
      </c>
      <c r="U17" s="142">
        <v>8209878.0599999996</v>
      </c>
      <c r="V17" s="142">
        <v>27286855</v>
      </c>
      <c r="W17" s="236">
        <v>16409154</v>
      </c>
      <c r="X17" s="236">
        <v>4879449</v>
      </c>
      <c r="Y17" s="236">
        <v>0</v>
      </c>
      <c r="Z17" s="236">
        <v>0</v>
      </c>
      <c r="AA17" s="236">
        <v>0</v>
      </c>
      <c r="AB17" s="118"/>
    </row>
    <row r="18" spans="1:31" ht="14.25">
      <c r="A18" s="261" t="s">
        <v>2</v>
      </c>
      <c r="B18" s="261"/>
      <c r="C18" s="261"/>
      <c r="D18" s="261"/>
      <c r="E18" s="261"/>
      <c r="F18" s="13"/>
      <c r="G18" s="13"/>
      <c r="H18" s="13"/>
      <c r="I18" s="13"/>
      <c r="J18" s="144"/>
      <c r="K18" s="144"/>
      <c r="L18" s="146"/>
      <c r="M18" s="146"/>
      <c r="N18" s="146"/>
      <c r="O18" s="146"/>
      <c r="P18" s="146"/>
      <c r="Q18" s="149"/>
      <c r="R18" s="184"/>
      <c r="S18" s="166"/>
      <c r="T18" s="240"/>
      <c r="U18" s="234"/>
      <c r="V18" s="243"/>
      <c r="W18" s="120"/>
      <c r="X18" s="120"/>
      <c r="Y18" s="120"/>
      <c r="Z18" s="120"/>
      <c r="AA18" s="120"/>
      <c r="AB18" s="42"/>
    </row>
    <row r="19" spans="1:31" ht="14.25">
      <c r="A19" s="10" t="s">
        <v>15</v>
      </c>
      <c r="B19" s="275"/>
      <c r="C19" s="275"/>
      <c r="D19" s="261" t="s">
        <v>150</v>
      </c>
      <c r="E19" s="261"/>
      <c r="F19" s="13">
        <v>3433132</v>
      </c>
      <c r="G19" s="13">
        <v>1840403</v>
      </c>
      <c r="H19" s="13">
        <v>8147209</v>
      </c>
      <c r="I19" s="13">
        <v>3148189.4</v>
      </c>
      <c r="J19" s="146">
        <f>3993185+250733</f>
        <v>4243918</v>
      </c>
      <c r="K19" s="146">
        <v>1320784</v>
      </c>
      <c r="L19" s="146">
        <v>2907784</v>
      </c>
      <c r="M19" s="146">
        <v>1392262</v>
      </c>
      <c r="N19" s="146">
        <v>3337492</v>
      </c>
      <c r="O19" s="146">
        <v>833151.94</v>
      </c>
      <c r="P19" s="138">
        <f>1721970</f>
        <v>1721970</v>
      </c>
      <c r="Q19" s="138">
        <v>1888591.18</v>
      </c>
      <c r="R19" s="184">
        <f>2509150+378291</f>
        <v>2887441</v>
      </c>
      <c r="S19" s="166">
        <f>1769278.33</f>
        <v>1769278.33</v>
      </c>
      <c r="T19" s="240">
        <v>3330382</v>
      </c>
      <c r="U19" s="234">
        <f>1607063.39+1112510.48+40211.22</f>
        <v>2759785.0900000003</v>
      </c>
      <c r="V19" s="243">
        <v>3306091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37"/>
      <c r="AC19" s="137"/>
      <c r="AD19" s="137"/>
      <c r="AE19" s="137"/>
    </row>
    <row r="20" spans="1:31" ht="14.25">
      <c r="A20" s="10" t="s">
        <v>16</v>
      </c>
      <c r="B20" s="275"/>
      <c r="C20" s="275"/>
      <c r="D20" s="261" t="s">
        <v>17</v>
      </c>
      <c r="E20" s="261"/>
      <c r="F20" s="13"/>
      <c r="G20" s="13"/>
      <c r="H20" s="13">
        <f>77787540+505694</f>
        <v>78293234</v>
      </c>
      <c r="I20" s="13">
        <v>40070754.759999998</v>
      </c>
      <c r="J20" s="146">
        <f>92264402-10061915+230900+200000+199985</f>
        <v>82833372</v>
      </c>
      <c r="K20" s="146">
        <f>2035998+200000+49106007</f>
        <v>51342005</v>
      </c>
      <c r="L20" s="146">
        <f>38849868+774250+90972</f>
        <v>39715090</v>
      </c>
      <c r="M20" s="146">
        <f>39002272+769895+230034</f>
        <v>40002201</v>
      </c>
      <c r="N20" s="146">
        <f>17392429+315934+9259661+1573+6000</f>
        <v>26975597</v>
      </c>
      <c r="O20" s="146">
        <f>30937500.86+1871231.86+297483.67</f>
        <v>33106216.390000001</v>
      </c>
      <c r="P20" s="138">
        <v>9018341.8800000008</v>
      </c>
      <c r="Q20" s="138">
        <v>20222348.100000001</v>
      </c>
      <c r="R20" s="186">
        <f>1622590+85000+70000+7233+2000000+4590-186538+123733+137091+211915+26494.88</f>
        <v>4102108.88</v>
      </c>
      <c r="S20" s="178">
        <f>892384.78+210997.93+26494.88</f>
        <v>1129877.5899999999</v>
      </c>
      <c r="T20" s="138">
        <f>9186919+869383.71</f>
        <v>10056302.710000001</v>
      </c>
      <c r="U20" s="138">
        <f>4268137.16+301.3+1142383.69</f>
        <v>5410822.1500000004</v>
      </c>
      <c r="V20" s="243">
        <f>28852735-9036-3717335-1784724+13355</f>
        <v>23354995</v>
      </c>
      <c r="W20" s="120">
        <f>12107057+3717335+584762</f>
        <v>16409154</v>
      </c>
      <c r="X20" s="120">
        <f>3835945+1043504</f>
        <v>4879449</v>
      </c>
      <c r="Y20" s="120">
        <v>0</v>
      </c>
      <c r="Z20" s="120">
        <v>0</v>
      </c>
      <c r="AA20" s="120">
        <v>0</v>
      </c>
      <c r="AB20" s="137"/>
      <c r="AC20" s="42"/>
    </row>
    <row r="21" spans="1:31" s="3" customFormat="1" ht="21.75" customHeight="1">
      <c r="A21" s="62" t="s">
        <v>151</v>
      </c>
      <c r="B21" s="62"/>
      <c r="C21" s="63"/>
      <c r="D21" s="287"/>
      <c r="E21" s="288"/>
      <c r="F21" s="64">
        <f t="shared" ref="F21:W21" si="5">F22+F33</f>
        <v>334911595</v>
      </c>
      <c r="G21" s="64">
        <f t="shared" si="5"/>
        <v>335976613</v>
      </c>
      <c r="H21" s="64">
        <f t="shared" si="5"/>
        <v>476590039</v>
      </c>
      <c r="I21" s="64">
        <f t="shared" si="5"/>
        <v>352361062.87</v>
      </c>
      <c r="J21" s="126">
        <f t="shared" si="5"/>
        <v>489741467</v>
      </c>
      <c r="K21" s="126">
        <f t="shared" si="5"/>
        <v>461761240</v>
      </c>
      <c r="L21" s="126">
        <f t="shared" si="5"/>
        <v>410523427</v>
      </c>
      <c r="M21" s="126">
        <f>M22+M33</f>
        <v>383559079</v>
      </c>
      <c r="N21" s="126">
        <f>N22+N33</f>
        <v>366640666</v>
      </c>
      <c r="O21" s="126">
        <f t="shared" si="5"/>
        <v>357910719.15999997</v>
      </c>
      <c r="P21" s="126">
        <f>P22+P33</f>
        <v>404537375.72000003</v>
      </c>
      <c r="Q21" s="126">
        <f>Q22+Q33</f>
        <v>385322882.00999999</v>
      </c>
      <c r="R21" s="126">
        <f>R22+R33</f>
        <v>426460056.97000003</v>
      </c>
      <c r="S21" s="126">
        <f t="shared" si="5"/>
        <v>410560470.86000001</v>
      </c>
      <c r="T21" s="133">
        <f t="shared" ref="T21" si="6">T22+T33</f>
        <v>486864173.75</v>
      </c>
      <c r="U21" s="133">
        <f t="shared" si="5"/>
        <v>457158947.85000002</v>
      </c>
      <c r="V21" s="133">
        <f t="shared" si="5"/>
        <v>547040380.66999996</v>
      </c>
      <c r="W21" s="67">
        <f t="shared" si="5"/>
        <v>468757478</v>
      </c>
      <c r="X21" s="67">
        <f>X22+X33</f>
        <v>434926418</v>
      </c>
      <c r="Y21" s="67">
        <f>Y22+Y33</f>
        <v>435484908</v>
      </c>
      <c r="Z21" s="67">
        <f>Z22+Z33</f>
        <v>432198433</v>
      </c>
      <c r="AA21" s="67">
        <f>AA22+AA33</f>
        <v>432198433</v>
      </c>
      <c r="AB21" s="155"/>
    </row>
    <row r="22" spans="1:31" s="4" customFormat="1" ht="15">
      <c r="A22" s="9" t="s">
        <v>18</v>
      </c>
      <c r="B22" s="276" t="s">
        <v>152</v>
      </c>
      <c r="C22" s="276"/>
      <c r="D22" s="276"/>
      <c r="E22" s="276"/>
      <c r="F22" s="12">
        <v>259694673</v>
      </c>
      <c r="G22" s="12">
        <v>269952678</v>
      </c>
      <c r="H22" s="12">
        <v>296857146</v>
      </c>
      <c r="I22" s="12">
        <v>284316537.25</v>
      </c>
      <c r="J22" s="142">
        <v>312676094</v>
      </c>
      <c r="K22" s="142">
        <v>299497121</v>
      </c>
      <c r="L22" s="142">
        <v>319826790</v>
      </c>
      <c r="M22" s="142">
        <v>311515588</v>
      </c>
      <c r="N22" s="142">
        <v>325938206</v>
      </c>
      <c r="O22" s="142">
        <v>316656787.39999998</v>
      </c>
      <c r="P22" s="142">
        <v>369507723.72000003</v>
      </c>
      <c r="Q22" s="142">
        <v>359597950.19999999</v>
      </c>
      <c r="R22" s="142">
        <v>387412409.97000003</v>
      </c>
      <c r="S22" s="142">
        <v>382393838.13999999</v>
      </c>
      <c r="T22" s="180">
        <v>416851628.75</v>
      </c>
      <c r="U22" s="180">
        <v>407389147.60000002</v>
      </c>
      <c r="V22" s="180">
        <v>432997152.06999999</v>
      </c>
      <c r="W22" s="233">
        <v>427921115</v>
      </c>
      <c r="X22" s="233">
        <v>427486604</v>
      </c>
      <c r="Y22" s="233">
        <v>430187271</v>
      </c>
      <c r="Z22" s="233">
        <v>429846271</v>
      </c>
      <c r="AA22" s="233">
        <v>429600271</v>
      </c>
      <c r="AB22" s="156"/>
    </row>
    <row r="23" spans="1:31" ht="15">
      <c r="A23" s="11"/>
      <c r="B23" s="11"/>
      <c r="C23" s="261" t="s">
        <v>2</v>
      </c>
      <c r="D23" s="261"/>
      <c r="E23" s="261"/>
      <c r="F23" s="13"/>
      <c r="G23" s="13"/>
      <c r="H23" s="13"/>
      <c r="I23" s="13"/>
      <c r="J23" s="284"/>
      <c r="K23" s="289"/>
      <c r="L23" s="289"/>
      <c r="M23" s="289"/>
      <c r="N23" s="289"/>
      <c r="O23" s="289"/>
      <c r="P23" s="289"/>
      <c r="Q23" s="154"/>
      <c r="R23" s="167"/>
      <c r="S23" s="167"/>
      <c r="T23" s="193"/>
      <c r="U23" s="193"/>
      <c r="V23" s="193"/>
      <c r="W23" s="136"/>
      <c r="X23" s="136"/>
      <c r="Y23" s="136"/>
      <c r="Z23" s="136"/>
      <c r="AA23" s="136"/>
    </row>
    <row r="24" spans="1:31" ht="13.5" customHeight="1">
      <c r="A24" s="10" t="s">
        <v>19</v>
      </c>
      <c r="B24" s="27"/>
      <c r="C24" s="23"/>
      <c r="D24" s="16" t="s">
        <v>153</v>
      </c>
      <c r="E24" s="10"/>
      <c r="F24" s="13">
        <v>0</v>
      </c>
      <c r="G24" s="13">
        <v>0</v>
      </c>
      <c r="H24" s="13">
        <v>361689</v>
      </c>
      <c r="I24" s="13">
        <v>0</v>
      </c>
      <c r="J24" s="132">
        <v>364231</v>
      </c>
      <c r="K24" s="132">
        <v>0</v>
      </c>
      <c r="L24" s="128">
        <f>413467+88608</f>
        <v>502075</v>
      </c>
      <c r="M24" s="128">
        <v>0</v>
      </c>
      <c r="N24" s="128">
        <v>619615</v>
      </c>
      <c r="O24" s="128">
        <v>0</v>
      </c>
      <c r="P24" s="128">
        <v>622357</v>
      </c>
      <c r="Q24" s="147">
        <v>0</v>
      </c>
      <c r="R24" s="184">
        <v>624433</v>
      </c>
      <c r="S24" s="166">
        <v>0</v>
      </c>
      <c r="T24" s="238">
        <v>627441</v>
      </c>
      <c r="U24" s="191">
        <v>0</v>
      </c>
      <c r="V24" s="244">
        <v>633292</v>
      </c>
      <c r="W24" s="125">
        <v>339048</v>
      </c>
      <c r="X24" s="125">
        <v>65589</v>
      </c>
      <c r="Y24" s="125">
        <v>65589</v>
      </c>
      <c r="Z24" s="125">
        <v>65589</v>
      </c>
      <c r="AA24" s="125">
        <v>65589</v>
      </c>
    </row>
    <row r="25" spans="1:31" ht="36">
      <c r="A25" s="262" t="s">
        <v>20</v>
      </c>
      <c r="B25" s="275"/>
      <c r="C25" s="275"/>
      <c r="D25" s="275"/>
      <c r="E25" s="25" t="s">
        <v>118</v>
      </c>
      <c r="F25" s="290">
        <v>0</v>
      </c>
      <c r="G25" s="290">
        <v>0</v>
      </c>
      <c r="H25" s="290">
        <v>0</v>
      </c>
      <c r="I25" s="290">
        <v>0</v>
      </c>
      <c r="J25" s="257">
        <v>0</v>
      </c>
      <c r="K25" s="257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8">
        <v>0</v>
      </c>
      <c r="X25" s="258">
        <v>0</v>
      </c>
      <c r="Y25" s="258">
        <v>0</v>
      </c>
      <c r="Z25" s="258">
        <v>0</v>
      </c>
      <c r="AA25" s="258">
        <v>0</v>
      </c>
    </row>
    <row r="26" spans="1:31" ht="12.75" customHeight="1">
      <c r="A26" s="262"/>
      <c r="B26" s="275"/>
      <c r="C26" s="275"/>
      <c r="D26" s="275"/>
      <c r="E26" s="26"/>
      <c r="F26" s="290"/>
      <c r="G26" s="290"/>
      <c r="H26" s="290"/>
      <c r="I26" s="290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9"/>
      <c r="X26" s="259"/>
      <c r="Y26" s="259"/>
      <c r="Z26" s="259"/>
      <c r="AA26" s="259"/>
    </row>
    <row r="27" spans="1:31" ht="61.5" customHeight="1">
      <c r="A27" s="91" t="s">
        <v>21</v>
      </c>
      <c r="B27" s="275"/>
      <c r="C27" s="275"/>
      <c r="D27" s="261" t="s">
        <v>168</v>
      </c>
      <c r="E27" s="261"/>
      <c r="F27" s="40">
        <v>0</v>
      </c>
      <c r="G27" s="40">
        <v>0</v>
      </c>
      <c r="H27" s="40">
        <v>0</v>
      </c>
      <c r="I27" s="40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47">
        <v>0</v>
      </c>
      <c r="R27" s="184">
        <v>0</v>
      </c>
      <c r="S27" s="166">
        <v>0</v>
      </c>
      <c r="T27" s="238">
        <v>0</v>
      </c>
      <c r="U27" s="191">
        <v>0</v>
      </c>
      <c r="V27" s="251">
        <v>0</v>
      </c>
      <c r="W27" s="251">
        <v>0</v>
      </c>
      <c r="X27" s="251">
        <v>0</v>
      </c>
      <c r="Y27" s="251">
        <v>0</v>
      </c>
      <c r="Z27" s="251">
        <v>0</v>
      </c>
      <c r="AA27" s="251">
        <v>0</v>
      </c>
    </row>
    <row r="28" spans="1:31" ht="14.25">
      <c r="A28" s="91" t="s">
        <v>22</v>
      </c>
      <c r="B28" s="275"/>
      <c r="C28" s="275"/>
      <c r="D28" s="261" t="s">
        <v>154</v>
      </c>
      <c r="E28" s="261"/>
      <c r="F28" s="13">
        <v>468155</v>
      </c>
      <c r="G28" s="13">
        <v>55792</v>
      </c>
      <c r="H28" s="13">
        <v>280829</v>
      </c>
      <c r="I28" s="13">
        <v>0</v>
      </c>
      <c r="J28" s="128">
        <f>J29</f>
        <v>366537</v>
      </c>
      <c r="K28" s="128">
        <v>9193</v>
      </c>
      <c r="L28" s="128">
        <f t="shared" ref="L28:AA28" si="7">L29</f>
        <v>407180</v>
      </c>
      <c r="M28" s="128">
        <f t="shared" si="7"/>
        <v>23542</v>
      </c>
      <c r="N28" s="128">
        <f t="shared" si="7"/>
        <v>1652034</v>
      </c>
      <c r="O28" s="128">
        <f t="shared" si="7"/>
        <v>741395.58</v>
      </c>
      <c r="P28" s="128">
        <f t="shared" si="7"/>
        <v>1575570</v>
      </c>
      <c r="Q28" s="147">
        <v>709306.35</v>
      </c>
      <c r="R28" s="184">
        <f>R29</f>
        <v>1125201</v>
      </c>
      <c r="S28" s="166">
        <f t="shared" si="7"/>
        <v>708107.73</v>
      </c>
      <c r="T28" s="238">
        <f>1220188</f>
        <v>1220188</v>
      </c>
      <c r="U28" s="191">
        <v>750252.36</v>
      </c>
      <c r="V28" s="244">
        <f>1245086</f>
        <v>1245086</v>
      </c>
      <c r="W28" s="125">
        <f t="shared" si="7"/>
        <v>1253204</v>
      </c>
      <c r="X28" s="125">
        <f t="shared" si="7"/>
        <v>1022000</v>
      </c>
      <c r="Y28" s="125">
        <f t="shared" si="7"/>
        <v>788000</v>
      </c>
      <c r="Z28" s="125">
        <f t="shared" si="7"/>
        <v>548000</v>
      </c>
      <c r="AA28" s="125">
        <f t="shared" si="7"/>
        <v>302000</v>
      </c>
    </row>
    <row r="29" spans="1:31" ht="30" customHeight="1">
      <c r="A29" s="91" t="s">
        <v>23</v>
      </c>
      <c r="B29" s="275"/>
      <c r="C29" s="275"/>
      <c r="D29" s="275"/>
      <c r="E29" s="17" t="s">
        <v>155</v>
      </c>
      <c r="F29" s="13">
        <v>468155</v>
      </c>
      <c r="G29" s="13">
        <v>55792</v>
      </c>
      <c r="H29" s="13">
        <v>280829</v>
      </c>
      <c r="I29" s="13">
        <v>0</v>
      </c>
      <c r="J29" s="128">
        <v>366537</v>
      </c>
      <c r="K29" s="128">
        <v>9193</v>
      </c>
      <c r="L29" s="128">
        <v>407180</v>
      </c>
      <c r="M29" s="128">
        <v>23542</v>
      </c>
      <c r="N29" s="128">
        <v>1652034</v>
      </c>
      <c r="O29" s="128">
        <v>741395.58</v>
      </c>
      <c r="P29" s="128">
        <v>1575570</v>
      </c>
      <c r="Q29" s="147">
        <v>709306.35</v>
      </c>
      <c r="R29" s="184">
        <v>1125201</v>
      </c>
      <c r="S29" s="166">
        <v>708107.73</v>
      </c>
      <c r="T29" s="240">
        <f>1220188-53574</f>
        <v>1166614</v>
      </c>
      <c r="U29" s="194">
        <v>696707.23</v>
      </c>
      <c r="V29" s="244">
        <f>1245086-14455</f>
        <v>1230631</v>
      </c>
      <c r="W29" s="125">
        <v>1253204</v>
      </c>
      <c r="X29" s="125">
        <v>1022000</v>
      </c>
      <c r="Y29" s="125">
        <v>788000</v>
      </c>
      <c r="Z29" s="125">
        <v>548000</v>
      </c>
      <c r="AA29" s="125">
        <v>302000</v>
      </c>
      <c r="AB29" s="137"/>
    </row>
    <row r="30" spans="1:31" s="90" customFormat="1" ht="18" customHeight="1">
      <c r="A30" s="91"/>
      <c r="B30" s="87"/>
      <c r="C30" s="261" t="s">
        <v>2</v>
      </c>
      <c r="D30" s="261"/>
      <c r="E30" s="261"/>
      <c r="F30" s="13"/>
      <c r="G30" s="13"/>
      <c r="H30" s="13"/>
      <c r="I30" s="13"/>
      <c r="J30" s="128"/>
      <c r="K30" s="128"/>
      <c r="L30" s="128"/>
      <c r="M30" s="128"/>
      <c r="N30" s="128"/>
      <c r="O30" s="128"/>
      <c r="P30" s="128"/>
      <c r="Q30" s="147"/>
      <c r="R30" s="184"/>
      <c r="S30" s="166"/>
      <c r="T30" s="238"/>
      <c r="U30" s="191"/>
      <c r="V30" s="244"/>
      <c r="W30" s="125"/>
      <c r="X30" s="125"/>
      <c r="Y30" s="125"/>
      <c r="Z30" s="125"/>
      <c r="AA30" s="125"/>
    </row>
    <row r="31" spans="1:31" s="90" customFormat="1" ht="62.25" customHeight="1">
      <c r="A31" s="91" t="s">
        <v>119</v>
      </c>
      <c r="B31" s="275"/>
      <c r="C31" s="275"/>
      <c r="D31" s="275"/>
      <c r="E31" s="89" t="s">
        <v>195</v>
      </c>
      <c r="F31" s="13"/>
      <c r="G31" s="13"/>
      <c r="H31" s="13"/>
      <c r="I31" s="13"/>
      <c r="J31" s="128"/>
      <c r="K31" s="128"/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47">
        <v>0</v>
      </c>
      <c r="R31" s="184">
        <v>0</v>
      </c>
      <c r="S31" s="166">
        <v>0</v>
      </c>
      <c r="T31" s="238">
        <v>0</v>
      </c>
      <c r="U31" s="191">
        <v>0</v>
      </c>
      <c r="V31" s="244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</row>
    <row r="32" spans="1:31" s="90" customFormat="1" ht="36">
      <c r="A32" s="91" t="s">
        <v>120</v>
      </c>
      <c r="B32" s="275"/>
      <c r="C32" s="275"/>
      <c r="D32" s="275"/>
      <c r="E32" s="89" t="s">
        <v>156</v>
      </c>
      <c r="F32" s="13"/>
      <c r="G32" s="13"/>
      <c r="H32" s="13"/>
      <c r="I32" s="13"/>
      <c r="J32" s="128"/>
      <c r="K32" s="128"/>
      <c r="L32" s="128">
        <v>32013</v>
      </c>
      <c r="M32" s="128">
        <v>0</v>
      </c>
      <c r="N32" s="128">
        <v>0</v>
      </c>
      <c r="O32" s="128">
        <v>0</v>
      </c>
      <c r="P32" s="128">
        <v>0</v>
      </c>
      <c r="Q32" s="147">
        <v>0</v>
      </c>
      <c r="R32" s="184">
        <v>0</v>
      </c>
      <c r="S32" s="166">
        <v>0</v>
      </c>
      <c r="T32" s="238">
        <v>0</v>
      </c>
      <c r="U32" s="191">
        <v>0</v>
      </c>
      <c r="V32" s="244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</row>
    <row r="33" spans="1:32" s="4" customFormat="1" ht="24.75" customHeight="1">
      <c r="A33" s="9" t="s">
        <v>24</v>
      </c>
      <c r="B33" s="276" t="s">
        <v>157</v>
      </c>
      <c r="C33" s="276"/>
      <c r="D33" s="276"/>
      <c r="E33" s="276"/>
      <c r="F33" s="12">
        <v>75216922</v>
      </c>
      <c r="G33" s="12">
        <v>66023935</v>
      </c>
      <c r="H33" s="12">
        <v>179732893</v>
      </c>
      <c r="I33" s="12">
        <v>68044525.620000005</v>
      </c>
      <c r="J33" s="127">
        <v>177065373</v>
      </c>
      <c r="K33" s="127">
        <v>162264119</v>
      </c>
      <c r="L33" s="127">
        <v>90696637</v>
      </c>
      <c r="M33" s="127">
        <v>72043491</v>
      </c>
      <c r="N33" s="127">
        <v>40702460</v>
      </c>
      <c r="O33" s="127">
        <v>41253931.759999998</v>
      </c>
      <c r="P33" s="142">
        <v>35029652</v>
      </c>
      <c r="Q33" s="142">
        <v>25724931.809999999</v>
      </c>
      <c r="R33" s="142">
        <v>39047647</v>
      </c>
      <c r="S33" s="142">
        <v>28166632.719999999</v>
      </c>
      <c r="T33" s="180">
        <v>70012545</v>
      </c>
      <c r="U33" s="180">
        <v>49769800.25</v>
      </c>
      <c r="V33" s="180">
        <v>114043228.59999999</v>
      </c>
      <c r="W33" s="233">
        <v>40836363</v>
      </c>
      <c r="X33" s="233">
        <v>7439814</v>
      </c>
      <c r="Y33" s="233">
        <v>5297637</v>
      </c>
      <c r="Z33" s="233">
        <v>2352162</v>
      </c>
      <c r="AA33" s="233">
        <v>2598162</v>
      </c>
      <c r="AB33" s="118"/>
      <c r="AC33" s="118"/>
      <c r="AD33" s="118"/>
      <c r="AE33" s="118"/>
    </row>
    <row r="34" spans="1:32" ht="19.5" customHeight="1">
      <c r="A34" s="286" t="s">
        <v>158</v>
      </c>
      <c r="B34" s="286"/>
      <c r="C34" s="286"/>
      <c r="D34" s="286"/>
      <c r="E34" s="286"/>
      <c r="F34" s="66">
        <f t="shared" ref="F34:W34" si="8">F8-F21</f>
        <v>9831323</v>
      </c>
      <c r="G34" s="66">
        <f t="shared" si="8"/>
        <v>34614323</v>
      </c>
      <c r="H34" s="66">
        <f t="shared" si="8"/>
        <v>-81515109</v>
      </c>
      <c r="I34" s="66">
        <f t="shared" si="8"/>
        <v>6926002.8199999928</v>
      </c>
      <c r="J34" s="133">
        <f t="shared" si="8"/>
        <v>-71796311</v>
      </c>
      <c r="K34" s="133">
        <f t="shared" si="8"/>
        <v>-67570330</v>
      </c>
      <c r="L34" s="133">
        <f t="shared" si="8"/>
        <v>-33601370</v>
      </c>
      <c r="M34" s="133">
        <f>M8-M21</f>
        <v>-50648023</v>
      </c>
      <c r="N34" s="133">
        <f>N8-N21</f>
        <v>-516953</v>
      </c>
      <c r="O34" s="133">
        <f t="shared" si="8"/>
        <v>19934089.570000052</v>
      </c>
      <c r="P34" s="133">
        <f t="shared" si="8"/>
        <v>-1866768.4600000381</v>
      </c>
      <c r="Q34" s="133">
        <f>Q8-Q21</f>
        <v>55451622.620000005</v>
      </c>
      <c r="R34" s="133">
        <f>R8-R21</f>
        <v>-20257573.290000021</v>
      </c>
      <c r="S34" s="133">
        <f t="shared" si="8"/>
        <v>20542437.49000001</v>
      </c>
      <c r="T34" s="133">
        <f t="shared" ref="T34" si="9">T8-T21</f>
        <v>-47877923.800000012</v>
      </c>
      <c r="U34" s="133">
        <f t="shared" si="8"/>
        <v>-4753672.8400000334</v>
      </c>
      <c r="V34" s="133">
        <f t="shared" si="8"/>
        <v>-77625262.99999994</v>
      </c>
      <c r="W34" s="67">
        <f t="shared" si="8"/>
        <v>-11408232</v>
      </c>
      <c r="X34" s="67">
        <f>X8-X21</f>
        <v>6000000</v>
      </c>
      <c r="Y34" s="67">
        <f>Y8-Y21</f>
        <v>5720864</v>
      </c>
      <c r="Z34" s="67">
        <f>Z8-Z21</f>
        <v>5720864</v>
      </c>
      <c r="AA34" s="67">
        <f>AA8-AA21</f>
        <v>5720864</v>
      </c>
    </row>
    <row r="35" spans="1:32" ht="21.75" customHeight="1">
      <c r="A35" s="260" t="s">
        <v>159</v>
      </c>
      <c r="B35" s="260"/>
      <c r="C35" s="260"/>
      <c r="D35" s="260"/>
      <c r="E35" s="260"/>
      <c r="F35" s="64">
        <f t="shared" ref="F35:AA35" si="10">F36+F38+F40+F42</f>
        <v>81065325</v>
      </c>
      <c r="G35" s="64">
        <f t="shared" si="10"/>
        <v>76262991</v>
      </c>
      <c r="H35" s="64">
        <f t="shared" si="10"/>
        <v>81665109</v>
      </c>
      <c r="I35" s="64">
        <f t="shared" si="10"/>
        <v>107977314</v>
      </c>
      <c r="J35" s="126">
        <f t="shared" si="10"/>
        <v>72126311</v>
      </c>
      <c r="K35" s="126">
        <f t="shared" si="10"/>
        <v>115913295</v>
      </c>
      <c r="L35" s="126">
        <f t="shared" si="10"/>
        <v>33861370</v>
      </c>
      <c r="M35" s="126">
        <f t="shared" si="10"/>
        <v>78253900</v>
      </c>
      <c r="N35" s="126">
        <f>N36+N38+N40+N42</f>
        <v>632078</v>
      </c>
      <c r="O35" s="133">
        <f t="shared" si="10"/>
        <v>27862829.030000001</v>
      </c>
      <c r="P35" s="126">
        <f t="shared" si="10"/>
        <v>2417866.46</v>
      </c>
      <c r="Q35" s="126">
        <f>Q36+Q38+Q40+Q42</f>
        <v>46945752.93</v>
      </c>
      <c r="R35" s="126">
        <f>R36+R38+R40+R42</f>
        <v>20463300.289999999</v>
      </c>
      <c r="S35" s="126">
        <f t="shared" si="10"/>
        <v>102906517.53</v>
      </c>
      <c r="T35" s="126">
        <f t="shared" ref="T35" si="11">T36+T38+T40+T42</f>
        <v>48122353.799999997</v>
      </c>
      <c r="U35" s="126">
        <f t="shared" si="10"/>
        <v>123293588.02000001</v>
      </c>
      <c r="V35" s="126">
        <f t="shared" si="10"/>
        <v>77826280</v>
      </c>
      <c r="W35" s="65">
        <f t="shared" si="10"/>
        <v>17545930</v>
      </c>
      <c r="X35" s="65">
        <f t="shared" si="10"/>
        <v>0</v>
      </c>
      <c r="Y35" s="65">
        <f t="shared" si="10"/>
        <v>279136</v>
      </c>
      <c r="Z35" s="65">
        <f t="shared" si="10"/>
        <v>279136</v>
      </c>
      <c r="AA35" s="65">
        <f t="shared" si="10"/>
        <v>279136</v>
      </c>
      <c r="AB35" s="137"/>
      <c r="AC35" s="137"/>
      <c r="AD35" s="137"/>
      <c r="AE35" s="137"/>
      <c r="AF35" s="137"/>
    </row>
    <row r="36" spans="1:32" ht="14.25">
      <c r="A36" s="276" t="s">
        <v>25</v>
      </c>
      <c r="B36" s="276"/>
      <c r="C36" s="261" t="s">
        <v>160</v>
      </c>
      <c r="D36" s="261"/>
      <c r="E36" s="261"/>
      <c r="F36" s="13">
        <v>63238757</v>
      </c>
      <c r="G36" s="13">
        <v>73362991</v>
      </c>
      <c r="H36" s="13">
        <v>81665109</v>
      </c>
      <c r="I36" s="20">
        <v>107977314</v>
      </c>
      <c r="J36" s="128">
        <v>71116333</v>
      </c>
      <c r="K36" s="128">
        <v>114903317</v>
      </c>
      <c r="L36" s="128">
        <v>31173423</v>
      </c>
      <c r="M36" s="128">
        <v>47332987</v>
      </c>
      <c r="N36" s="128">
        <v>0</v>
      </c>
      <c r="O36" s="128">
        <v>0</v>
      </c>
      <c r="P36" s="143">
        <v>1066768.46</v>
      </c>
      <c r="Q36" s="149">
        <v>16619052.890000001</v>
      </c>
      <c r="R36" s="186">
        <f>15939488+30000+2606000+2925149+500000+99252-70000+3120761+81683+490998+419029+110000+2404803+293540-853089+220000+606036+200000-432000-2373006+3450-2476926.71-3641349</f>
        <v>20203818.289999999</v>
      </c>
      <c r="S36" s="182">
        <v>72320335.489999995</v>
      </c>
      <c r="T36" s="240">
        <f>61179064+1291755+1101500+2238560-226706+289303-162039+3553092-972469-1972324+20500-9920065-1798320.2-6702187</f>
        <v>47919663.799999997</v>
      </c>
      <c r="U36" s="234">
        <v>92862772.980000004</v>
      </c>
      <c r="V36" s="243">
        <f>51125964+5801887+17039997+2025415+1632000</f>
        <v>77625263</v>
      </c>
      <c r="W36" s="120">
        <f>0+5165975+8975277-2025415-1632000</f>
        <v>10483837</v>
      </c>
      <c r="X36" s="125">
        <v>0</v>
      </c>
      <c r="Y36" s="125">
        <f>1432346+5432-26391-3125+25492-442977-14266+26581-356690+98590-44218-700774</f>
        <v>0</v>
      </c>
      <c r="Z36" s="125">
        <v>0</v>
      </c>
      <c r="AA36" s="125">
        <f>946346+5432-26391-3125+25492-442977-14266+26581-356690+98590-44218-214774</f>
        <v>0</v>
      </c>
      <c r="AB36" s="137"/>
      <c r="AC36" s="137"/>
      <c r="AD36" s="137"/>
      <c r="AE36" s="137"/>
      <c r="AF36" s="137"/>
    </row>
    <row r="37" spans="1:32" ht="14.25">
      <c r="A37" s="267" t="s">
        <v>26</v>
      </c>
      <c r="B37" s="268"/>
      <c r="C37" s="265"/>
      <c r="D37" s="266"/>
      <c r="E37" s="10" t="s">
        <v>161</v>
      </c>
      <c r="F37" s="13">
        <v>0</v>
      </c>
      <c r="G37" s="13">
        <v>0</v>
      </c>
      <c r="H37" s="13">
        <v>81515109</v>
      </c>
      <c r="I37" s="13">
        <v>0</v>
      </c>
      <c r="J37" s="128">
        <f>71116333-30000</f>
        <v>71086333</v>
      </c>
      <c r="K37" s="128">
        <v>66860352</v>
      </c>
      <c r="L37" s="128">
        <f>33775070-260000-1284824-160000-140000+2212953+1588608-2919384-1899000+95838-266072+170234</f>
        <v>30913423</v>
      </c>
      <c r="M37" s="128">
        <v>20257088</v>
      </c>
      <c r="N37" s="128">
        <f>2708-2708</f>
        <v>0</v>
      </c>
      <c r="O37" s="128">
        <f>2708-2708</f>
        <v>0</v>
      </c>
      <c r="P37" s="143">
        <v>1066768.46</v>
      </c>
      <c r="Q37" s="149">
        <v>0</v>
      </c>
      <c r="R37" s="138">
        <f>15751508+30000+2606000+2925149+500000+99252-70000+3120761+81683+490998+419029-17747+110000+2404803+293540-853089+220000+606036+200000-432000-2373006+3450-2476926.71-3641349</f>
        <v>19998091.289999999</v>
      </c>
      <c r="S37" s="138">
        <v>0</v>
      </c>
      <c r="T37" s="240">
        <f>61137324+1291755+1101500+2238560-226706+289303-162039+3553092-972469-1972324+20500-9920065-1798320.2-6702187</f>
        <v>47877923.799999997</v>
      </c>
      <c r="U37" s="234">
        <v>4753672.84</v>
      </c>
      <c r="V37" s="243">
        <f>51077276+5801887+17088685+2025415+1632000</f>
        <v>77625263</v>
      </c>
      <c r="W37" s="120">
        <f>0+5165975+6116188+126069-924395</f>
        <v>10483837</v>
      </c>
      <c r="X37" s="125">
        <v>0</v>
      </c>
      <c r="Y37" s="125">
        <v>0</v>
      </c>
      <c r="Z37" s="125">
        <v>0</v>
      </c>
      <c r="AA37" s="125">
        <v>0</v>
      </c>
      <c r="AB37" s="137"/>
      <c r="AC37" s="137"/>
    </row>
    <row r="38" spans="1:32" ht="14.25">
      <c r="A38" s="276" t="s">
        <v>27</v>
      </c>
      <c r="B38" s="276"/>
      <c r="C38" s="261" t="s">
        <v>162</v>
      </c>
      <c r="D38" s="261"/>
      <c r="E38" s="261"/>
      <c r="F38" s="13">
        <v>17766568</v>
      </c>
      <c r="G38" s="13">
        <v>2850000</v>
      </c>
      <c r="H38" s="13">
        <v>0</v>
      </c>
      <c r="I38" s="13">
        <v>0</v>
      </c>
      <c r="J38" s="128">
        <v>0</v>
      </c>
      <c r="K38" s="128">
        <v>0</v>
      </c>
      <c r="L38" s="128">
        <v>0</v>
      </c>
      <c r="M38" s="128">
        <v>529978</v>
      </c>
      <c r="N38" s="128">
        <v>115125</v>
      </c>
      <c r="O38" s="128">
        <v>27345876.030000001</v>
      </c>
      <c r="P38" s="128">
        <v>551098</v>
      </c>
      <c r="Q38" s="147">
        <f>31062740.71-736040.67</f>
        <v>30326700.039999999</v>
      </c>
      <c r="R38" s="186">
        <v>0</v>
      </c>
      <c r="S38" s="178">
        <v>30326700.039999999</v>
      </c>
      <c r="T38" s="240">
        <v>0</v>
      </c>
      <c r="U38" s="192">
        <v>30380455.039999999</v>
      </c>
      <c r="V38" s="243">
        <f>6541136+6481328+615000+6069352-193648+171907-2596390-17039997</f>
        <v>48688</v>
      </c>
      <c r="W38" s="120">
        <f>2932030+3873333+848523+4600000-8975277+2151484+1632000</f>
        <v>7062093</v>
      </c>
      <c r="X38" s="125">
        <f>0+272638-272638</f>
        <v>0</v>
      </c>
      <c r="Y38" s="125">
        <f>0+279136</f>
        <v>279136</v>
      </c>
      <c r="Z38" s="250">
        <f t="shared" ref="Z38:AA38" si="12">0+279136</f>
        <v>279136</v>
      </c>
      <c r="AA38" s="250">
        <f t="shared" si="12"/>
        <v>279136</v>
      </c>
      <c r="AB38" s="137"/>
      <c r="AC38" s="137"/>
      <c r="AD38" s="137"/>
      <c r="AE38" s="137"/>
    </row>
    <row r="39" spans="1:32" ht="14.25">
      <c r="A39" s="267" t="s">
        <v>28</v>
      </c>
      <c r="B39" s="268"/>
      <c r="C39" s="265"/>
      <c r="D39" s="266"/>
      <c r="E39" s="10" t="s">
        <v>161</v>
      </c>
      <c r="F39" s="13"/>
      <c r="G39" s="13"/>
      <c r="H39" s="13"/>
      <c r="I39" s="13"/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47">
        <v>0</v>
      </c>
      <c r="R39" s="184">
        <v>0</v>
      </c>
      <c r="S39" s="168">
        <v>0</v>
      </c>
      <c r="T39" s="238">
        <v>0</v>
      </c>
      <c r="U39" s="191">
        <v>0</v>
      </c>
      <c r="V39" s="244">
        <f>6541136+6481328+615000+6069352-193648+171907-2596390-17088685</f>
        <v>0</v>
      </c>
      <c r="W39" s="125">
        <f>0+667665+848523+4600000-6116188+924395</f>
        <v>924395</v>
      </c>
      <c r="X39" s="125">
        <v>0</v>
      </c>
      <c r="Y39" s="125">
        <v>0</v>
      </c>
      <c r="Z39" s="125">
        <v>0</v>
      </c>
      <c r="AA39" s="125">
        <v>0</v>
      </c>
      <c r="AB39" s="137"/>
    </row>
    <row r="40" spans="1:32" ht="21" customHeight="1">
      <c r="A40" s="276" t="s">
        <v>29</v>
      </c>
      <c r="B40" s="276"/>
      <c r="C40" s="261" t="s">
        <v>163</v>
      </c>
      <c r="D40" s="261"/>
      <c r="E40" s="261"/>
      <c r="F40" s="13"/>
      <c r="G40" s="13"/>
      <c r="H40" s="13"/>
      <c r="I40" s="13"/>
      <c r="J40" s="128">
        <v>559978</v>
      </c>
      <c r="K40" s="128">
        <v>559978</v>
      </c>
      <c r="L40" s="128">
        <f>794930+1600000+307339+209449-253771</f>
        <v>2657947</v>
      </c>
      <c r="M40" s="128">
        <f>794930+1600000+307339+209449-253771-180224-2116788+30000000</f>
        <v>30360935</v>
      </c>
      <c r="N40" s="128">
        <f>800000-107444-175603</f>
        <v>516953</v>
      </c>
      <c r="O40" s="128">
        <f>800000-107444-175603</f>
        <v>516953</v>
      </c>
      <c r="P40" s="128">
        <v>800000</v>
      </c>
      <c r="Q40" s="171">
        <v>0</v>
      </c>
      <c r="R40" s="184">
        <f>0+259482</f>
        <v>259482</v>
      </c>
      <c r="S40" s="168">
        <f>0+259482</f>
        <v>259482</v>
      </c>
      <c r="T40" s="238">
        <v>0</v>
      </c>
      <c r="U40" s="191">
        <v>0</v>
      </c>
      <c r="V40" s="244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42"/>
    </row>
    <row r="41" spans="1:32" ht="14.25">
      <c r="A41" s="267" t="s">
        <v>30</v>
      </c>
      <c r="B41" s="268"/>
      <c r="C41" s="265"/>
      <c r="D41" s="266"/>
      <c r="E41" s="10" t="s">
        <v>161</v>
      </c>
      <c r="F41" s="13"/>
      <c r="G41" s="13"/>
      <c r="H41" s="13"/>
      <c r="I41" s="13"/>
      <c r="J41" s="128">
        <v>559978</v>
      </c>
      <c r="K41" s="128">
        <v>559978</v>
      </c>
      <c r="L41" s="128">
        <f>794930+1600000+307339+209449-253771</f>
        <v>2657947</v>
      </c>
      <c r="M41" s="128">
        <f>794930+1600000+307339+209449-253771-180224-2116788+30000000</f>
        <v>30360935</v>
      </c>
      <c r="N41" s="128">
        <f>800000-107444-175603</f>
        <v>516953</v>
      </c>
      <c r="O41" s="128"/>
      <c r="P41" s="128">
        <v>800000</v>
      </c>
      <c r="Q41" s="147">
        <v>0</v>
      </c>
      <c r="R41" s="184">
        <f>0+259482</f>
        <v>259482</v>
      </c>
      <c r="S41" s="172">
        <f>0+259482</f>
        <v>259482</v>
      </c>
      <c r="T41" s="238">
        <v>0</v>
      </c>
      <c r="U41" s="191">
        <v>0</v>
      </c>
      <c r="V41" s="244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37"/>
    </row>
    <row r="42" spans="1:32" ht="14.25">
      <c r="A42" s="276" t="s">
        <v>31</v>
      </c>
      <c r="B42" s="276"/>
      <c r="C42" s="261" t="s">
        <v>167</v>
      </c>
      <c r="D42" s="261"/>
      <c r="E42" s="261"/>
      <c r="F42" s="13">
        <v>60000</v>
      </c>
      <c r="G42" s="13">
        <v>50000</v>
      </c>
      <c r="H42" s="13">
        <v>0</v>
      </c>
      <c r="I42" s="13">
        <v>0</v>
      </c>
      <c r="J42" s="128">
        <v>450000</v>
      </c>
      <c r="K42" s="128">
        <v>450000</v>
      </c>
      <c r="L42" s="128">
        <v>30000</v>
      </c>
      <c r="M42" s="128">
        <v>30000</v>
      </c>
      <c r="N42" s="128">
        <v>0</v>
      </c>
      <c r="O42" s="128">
        <v>0</v>
      </c>
      <c r="P42" s="128">
        <v>0</v>
      </c>
      <c r="Q42" s="147">
        <v>0</v>
      </c>
      <c r="R42" s="184">
        <v>0</v>
      </c>
      <c r="S42" s="168">
        <v>0</v>
      </c>
      <c r="T42" s="238">
        <f>184943+17747</f>
        <v>202690</v>
      </c>
      <c r="U42" s="191">
        <v>50360</v>
      </c>
      <c r="V42" s="244">
        <f>0+17747+134582</f>
        <v>152329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42"/>
    </row>
    <row r="43" spans="1:32" ht="14.25">
      <c r="A43" s="267" t="s">
        <v>32</v>
      </c>
      <c r="B43" s="268"/>
      <c r="C43" s="265"/>
      <c r="D43" s="266"/>
      <c r="E43" s="10" t="s">
        <v>161</v>
      </c>
      <c r="F43" s="13"/>
      <c r="G43" s="13"/>
      <c r="H43" s="13"/>
      <c r="I43" s="13"/>
      <c r="J43" s="128">
        <v>150000</v>
      </c>
      <c r="K43" s="128">
        <v>150000</v>
      </c>
      <c r="L43" s="128">
        <v>30000</v>
      </c>
      <c r="M43" s="128">
        <v>30000</v>
      </c>
      <c r="N43" s="128">
        <v>0</v>
      </c>
      <c r="O43" s="128">
        <v>0</v>
      </c>
      <c r="P43" s="128">
        <v>0</v>
      </c>
      <c r="Q43" s="147">
        <v>0</v>
      </c>
      <c r="R43" s="184">
        <v>0</v>
      </c>
      <c r="S43" s="168">
        <v>0</v>
      </c>
      <c r="T43" s="238">
        <v>0</v>
      </c>
      <c r="U43" s="191">
        <v>0</v>
      </c>
      <c r="V43" s="244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42"/>
    </row>
    <row r="44" spans="1:32" ht="24" customHeight="1">
      <c r="A44" s="269" t="s">
        <v>164</v>
      </c>
      <c r="B44" s="270"/>
      <c r="C44" s="270"/>
      <c r="D44" s="270"/>
      <c r="E44" s="68"/>
      <c r="F44" s="64">
        <f t="shared" ref="F44:AA44" si="13">F45+F51</f>
        <v>21903795</v>
      </c>
      <c r="G44" s="64">
        <f t="shared" si="13"/>
        <v>2900000</v>
      </c>
      <c r="H44" s="64">
        <f t="shared" si="13"/>
        <v>150000</v>
      </c>
      <c r="I44" s="64">
        <f t="shared" si="13"/>
        <v>150000</v>
      </c>
      <c r="J44" s="126">
        <f t="shared" si="13"/>
        <v>330000</v>
      </c>
      <c r="K44" s="126">
        <f t="shared" si="13"/>
        <v>330000</v>
      </c>
      <c r="L44" s="126">
        <f t="shared" si="13"/>
        <v>260000</v>
      </c>
      <c r="M44" s="126">
        <f t="shared" si="13"/>
        <v>260000</v>
      </c>
      <c r="N44" s="126">
        <f>N45+N51</f>
        <v>115125</v>
      </c>
      <c r="O44" s="126">
        <f t="shared" si="13"/>
        <v>115125</v>
      </c>
      <c r="P44" s="126">
        <f t="shared" si="13"/>
        <v>551098</v>
      </c>
      <c r="Q44" s="126">
        <f>Q45+Q51</f>
        <v>484050.69999999995</v>
      </c>
      <c r="R44" s="126">
        <f>R45+R51</f>
        <v>205727</v>
      </c>
      <c r="S44" s="126">
        <f t="shared" si="13"/>
        <v>205727</v>
      </c>
      <c r="T44" s="126">
        <f t="shared" ref="T44" si="14">T45+T51</f>
        <v>244430</v>
      </c>
      <c r="U44" s="126">
        <f t="shared" si="13"/>
        <v>244430</v>
      </c>
      <c r="V44" s="126">
        <f t="shared" si="13"/>
        <v>201017</v>
      </c>
      <c r="W44" s="65">
        <f t="shared" si="13"/>
        <v>6137698</v>
      </c>
      <c r="X44" s="65">
        <f t="shared" si="13"/>
        <v>6000000</v>
      </c>
      <c r="Y44" s="65">
        <f t="shared" si="13"/>
        <v>6000000</v>
      </c>
      <c r="Z44" s="65">
        <f t="shared" si="13"/>
        <v>6000000</v>
      </c>
      <c r="AA44" s="65">
        <f t="shared" si="13"/>
        <v>6000000</v>
      </c>
      <c r="AB44" s="42"/>
    </row>
    <row r="45" spans="1:32" s="38" customFormat="1" ht="21" customHeight="1">
      <c r="A45" s="37" t="s">
        <v>108</v>
      </c>
      <c r="B45" s="272" t="s">
        <v>165</v>
      </c>
      <c r="C45" s="273"/>
      <c r="D45" s="273"/>
      <c r="E45" s="274"/>
      <c r="F45" s="13"/>
      <c r="G45" s="13">
        <v>2900000</v>
      </c>
      <c r="H45" s="13"/>
      <c r="I45" s="13"/>
      <c r="J45" s="128">
        <v>0</v>
      </c>
      <c r="K45" s="128">
        <v>0</v>
      </c>
      <c r="L45" s="128">
        <v>260000</v>
      </c>
      <c r="M45" s="128">
        <v>260000</v>
      </c>
      <c r="N45" s="128">
        <f>2231913-2116788</f>
        <v>115125</v>
      </c>
      <c r="O45" s="128">
        <f>2231913-2116788</f>
        <v>115125</v>
      </c>
      <c r="P45" s="128">
        <v>551098</v>
      </c>
      <c r="Q45" s="147">
        <v>299107.74</v>
      </c>
      <c r="R45" s="184">
        <f>303120-115140</f>
        <v>187980</v>
      </c>
      <c r="S45" s="168">
        <f>303120-115140</f>
        <v>187980</v>
      </c>
      <c r="T45" s="238">
        <f>369570-125140</f>
        <v>244430</v>
      </c>
      <c r="U45" s="191">
        <f>369570-125140</f>
        <v>244430</v>
      </c>
      <c r="V45" s="243">
        <f>316953-103140-12796</f>
        <v>201017</v>
      </c>
      <c r="W45" s="120">
        <f>6322000-165003-19181-118</f>
        <v>6137698</v>
      </c>
      <c r="X45" s="125">
        <v>6000000</v>
      </c>
      <c r="Y45" s="125">
        <v>6000000</v>
      </c>
      <c r="Z45" s="125">
        <v>6000000</v>
      </c>
      <c r="AA45" s="125">
        <v>6000000</v>
      </c>
      <c r="AB45" s="42"/>
    </row>
    <row r="46" spans="1:32" ht="85.5" customHeight="1">
      <c r="A46" s="262" t="s">
        <v>33</v>
      </c>
      <c r="B46" s="262"/>
      <c r="C46" s="262"/>
      <c r="D46" s="271" t="s">
        <v>166</v>
      </c>
      <c r="E46" s="271"/>
      <c r="F46" s="18">
        <v>0</v>
      </c>
      <c r="G46" s="18">
        <v>0</v>
      </c>
      <c r="H46" s="18">
        <v>0</v>
      </c>
      <c r="I46" s="18">
        <v>0</v>
      </c>
      <c r="J46" s="128">
        <v>0</v>
      </c>
      <c r="K46" s="128">
        <v>0</v>
      </c>
      <c r="L46" s="128">
        <f>L48+L49+L50</f>
        <v>0</v>
      </c>
      <c r="M46" s="128">
        <f>M48+M49+M50</f>
        <v>0</v>
      </c>
      <c r="N46" s="128">
        <v>0</v>
      </c>
      <c r="O46" s="128">
        <v>0</v>
      </c>
      <c r="P46" s="128">
        <f t="shared" ref="P46:AA46" si="15">P48+P49+P50</f>
        <v>0</v>
      </c>
      <c r="Q46" s="147">
        <f>Q48+Q49+Q50</f>
        <v>0</v>
      </c>
      <c r="R46" s="184">
        <f>R48+R49+R50</f>
        <v>0</v>
      </c>
      <c r="S46" s="168">
        <f t="shared" si="15"/>
        <v>0</v>
      </c>
      <c r="T46" s="238">
        <f t="shared" ref="T46" si="16">T48+T49+T50</f>
        <v>0</v>
      </c>
      <c r="U46" s="191">
        <f t="shared" si="15"/>
        <v>0</v>
      </c>
      <c r="V46" s="244">
        <f t="shared" si="15"/>
        <v>0</v>
      </c>
      <c r="W46" s="125">
        <f t="shared" si="15"/>
        <v>0</v>
      </c>
      <c r="X46" s="125">
        <f t="shared" si="15"/>
        <v>0</v>
      </c>
      <c r="Y46" s="125">
        <f t="shared" si="15"/>
        <v>0</v>
      </c>
      <c r="Z46" s="125">
        <f t="shared" si="15"/>
        <v>0</v>
      </c>
      <c r="AA46" s="125">
        <f t="shared" si="15"/>
        <v>0</v>
      </c>
    </row>
    <row r="47" spans="1:32" s="90" customFormat="1" ht="14.25">
      <c r="A47" s="91"/>
      <c r="B47" s="98"/>
      <c r="C47" s="262" t="s">
        <v>121</v>
      </c>
      <c r="D47" s="262"/>
      <c r="E47" s="262"/>
      <c r="F47" s="18"/>
      <c r="G47" s="18"/>
      <c r="H47" s="18"/>
      <c r="I47" s="18"/>
      <c r="J47" s="128"/>
      <c r="K47" s="128"/>
      <c r="L47" s="128"/>
      <c r="M47" s="128"/>
      <c r="N47" s="128"/>
      <c r="O47" s="128"/>
      <c r="P47" s="128"/>
      <c r="Q47" s="147"/>
      <c r="R47" s="184"/>
      <c r="S47" s="168"/>
      <c r="T47" s="238"/>
      <c r="U47" s="191"/>
      <c r="V47" s="244"/>
      <c r="W47" s="125"/>
      <c r="X47" s="125"/>
      <c r="Y47" s="125"/>
      <c r="Z47" s="125"/>
      <c r="AA47" s="125"/>
    </row>
    <row r="48" spans="1:32" ht="24">
      <c r="A48" s="91" t="s">
        <v>34</v>
      </c>
      <c r="B48" s="99"/>
      <c r="C48" s="263"/>
      <c r="D48" s="264"/>
      <c r="E48" s="100" t="s">
        <v>169</v>
      </c>
      <c r="F48" s="18"/>
      <c r="G48" s="18"/>
      <c r="H48" s="18"/>
      <c r="I48" s="18"/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47">
        <v>0</v>
      </c>
      <c r="R48" s="184">
        <v>0</v>
      </c>
      <c r="S48" s="168">
        <v>0</v>
      </c>
      <c r="T48" s="238">
        <v>0</v>
      </c>
      <c r="U48" s="191">
        <v>0</v>
      </c>
      <c r="V48" s="244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</row>
    <row r="49" spans="1:27" s="90" customFormat="1" ht="24">
      <c r="A49" s="91" t="s">
        <v>122</v>
      </c>
      <c r="B49" s="99"/>
      <c r="C49" s="263"/>
      <c r="D49" s="264"/>
      <c r="E49" s="100" t="s">
        <v>170</v>
      </c>
      <c r="F49" s="18"/>
      <c r="G49" s="18"/>
      <c r="H49" s="18"/>
      <c r="I49" s="18"/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47">
        <v>0</v>
      </c>
      <c r="R49" s="184">
        <v>0</v>
      </c>
      <c r="S49" s="168">
        <v>0</v>
      </c>
      <c r="T49" s="238">
        <v>0</v>
      </c>
      <c r="U49" s="191">
        <v>0</v>
      </c>
      <c r="V49" s="244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</row>
    <row r="50" spans="1:27" s="90" customFormat="1" ht="24">
      <c r="A50" s="91" t="s">
        <v>123</v>
      </c>
      <c r="B50" s="99"/>
      <c r="C50" s="263"/>
      <c r="D50" s="264"/>
      <c r="E50" s="100" t="s">
        <v>171</v>
      </c>
      <c r="F50" s="18"/>
      <c r="G50" s="18"/>
      <c r="H50" s="18"/>
      <c r="I50" s="18"/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47">
        <v>0</v>
      </c>
      <c r="R50" s="184">
        <v>0</v>
      </c>
      <c r="S50" s="168">
        <v>0</v>
      </c>
      <c r="T50" s="238">
        <v>0</v>
      </c>
      <c r="U50" s="191">
        <v>0</v>
      </c>
      <c r="V50" s="244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</row>
    <row r="51" spans="1:27" ht="18" customHeight="1">
      <c r="A51" s="28" t="s">
        <v>106</v>
      </c>
      <c r="B51" s="29"/>
      <c r="C51" s="24"/>
      <c r="D51" s="24"/>
      <c r="E51" s="23"/>
      <c r="F51" s="13">
        <v>21903795</v>
      </c>
      <c r="G51" s="13">
        <v>0</v>
      </c>
      <c r="H51" s="13">
        <v>150000</v>
      </c>
      <c r="I51" s="13">
        <v>150000</v>
      </c>
      <c r="J51" s="128">
        <v>330000</v>
      </c>
      <c r="K51" s="128">
        <v>330000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47">
        <v>184942.96</v>
      </c>
      <c r="R51" s="184">
        <f>0+17747</f>
        <v>17747</v>
      </c>
      <c r="S51" s="168">
        <f>0+17747</f>
        <v>17747</v>
      </c>
      <c r="T51" s="238">
        <v>0</v>
      </c>
      <c r="U51" s="191">
        <v>0</v>
      </c>
      <c r="V51" s="244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</row>
    <row r="52" spans="1:27" ht="25.5" customHeight="1">
      <c r="A52" s="260" t="s">
        <v>172</v>
      </c>
      <c r="B52" s="260"/>
      <c r="C52" s="260"/>
      <c r="D52" s="260"/>
      <c r="E52" s="260"/>
      <c r="F52" s="69">
        <v>2900000</v>
      </c>
      <c r="G52" s="64">
        <v>0</v>
      </c>
      <c r="H52" s="64">
        <v>0</v>
      </c>
      <c r="I52" s="64">
        <v>0</v>
      </c>
      <c r="J52" s="126">
        <v>559978</v>
      </c>
      <c r="K52" s="126">
        <v>559978</v>
      </c>
      <c r="L52" s="126">
        <v>2957925</v>
      </c>
      <c r="M52" s="126">
        <f>K52+M40-M44</f>
        <v>30660913</v>
      </c>
      <c r="N52" s="126">
        <f>M52+N40-N44</f>
        <v>31062741</v>
      </c>
      <c r="O52" s="126">
        <f>M52+O40-O44</f>
        <v>31062741</v>
      </c>
      <c r="P52" s="126">
        <f>O52+P40-P44</f>
        <v>31311643</v>
      </c>
      <c r="Q52" s="126">
        <f>O52+Q40-Q44+184942.96-251990.26</f>
        <v>30511643</v>
      </c>
      <c r="R52" s="126">
        <f>Q52+R40-R44+17747</f>
        <v>30583145</v>
      </c>
      <c r="S52" s="126">
        <f>Q52+S40-S44+17747</f>
        <v>30583145</v>
      </c>
      <c r="T52" s="126">
        <f>S52+T40-T44</f>
        <v>30338715</v>
      </c>
      <c r="U52" s="126">
        <f>S52+U40-U44</f>
        <v>30338715</v>
      </c>
      <c r="V52" s="126">
        <f t="shared" ref="V52:AA52" si="17">U52+V40-V44</f>
        <v>30137698</v>
      </c>
      <c r="W52" s="65">
        <f t="shared" si="17"/>
        <v>24000000</v>
      </c>
      <c r="X52" s="65">
        <f t="shared" si="17"/>
        <v>18000000</v>
      </c>
      <c r="Y52" s="65">
        <f t="shared" si="17"/>
        <v>12000000</v>
      </c>
      <c r="Z52" s="65">
        <f t="shared" si="17"/>
        <v>6000000</v>
      </c>
      <c r="AA52" s="65">
        <f t="shared" si="17"/>
        <v>0</v>
      </c>
    </row>
    <row r="53" spans="1:27" ht="41.25" customHeight="1">
      <c r="A53" s="260" t="s">
        <v>35</v>
      </c>
      <c r="B53" s="260"/>
      <c r="C53" s="260"/>
      <c r="D53" s="260"/>
      <c r="E53" s="260"/>
      <c r="F53" s="70"/>
      <c r="G53" s="70"/>
      <c r="H53" s="70"/>
      <c r="I53" s="70"/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</row>
    <row r="54" spans="1:27" ht="13.5" customHeight="1">
      <c r="A54" s="260" t="s">
        <v>36</v>
      </c>
      <c r="B54" s="260"/>
      <c r="C54" s="260"/>
      <c r="D54" s="260"/>
      <c r="E54" s="260"/>
      <c r="F54" s="70"/>
      <c r="G54" s="70"/>
      <c r="H54" s="70"/>
      <c r="I54" s="70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71"/>
      <c r="W54" s="71"/>
      <c r="X54" s="71"/>
      <c r="Y54" s="71"/>
      <c r="Z54" s="71"/>
      <c r="AA54" s="71"/>
    </row>
    <row r="55" spans="1:27" ht="27.75" customHeight="1">
      <c r="A55" s="261" t="s">
        <v>100</v>
      </c>
      <c r="B55" s="261"/>
      <c r="C55" s="261"/>
      <c r="D55" s="261"/>
      <c r="E55" s="261"/>
      <c r="F55" s="14">
        <f t="shared" ref="F55:W55" si="18">F9-F22</f>
        <v>64074710</v>
      </c>
      <c r="G55" s="14">
        <f t="shared" si="18"/>
        <v>73016021</v>
      </c>
      <c r="H55" s="14">
        <f t="shared" si="18"/>
        <v>11506962</v>
      </c>
      <c r="I55" s="14">
        <f t="shared" si="18"/>
        <v>30934279.689999998</v>
      </c>
      <c r="J55" s="128">
        <f t="shared" si="18"/>
        <v>17525135</v>
      </c>
      <c r="K55" s="128">
        <f t="shared" si="18"/>
        <v>41247083</v>
      </c>
      <c r="L55" s="128">
        <f t="shared" si="18"/>
        <v>13642695</v>
      </c>
      <c r="M55" s="128">
        <f>M9-M22</f>
        <v>-20182678</v>
      </c>
      <c r="N55" s="128">
        <f>N9-N22</f>
        <v>9672418</v>
      </c>
      <c r="O55" s="128">
        <f t="shared" si="18"/>
        <v>27102721.160000026</v>
      </c>
      <c r="P55" s="128">
        <f t="shared" si="18"/>
        <v>22328599.659999967</v>
      </c>
      <c r="Q55" s="147">
        <f>Q9-Q22</f>
        <v>58916613</v>
      </c>
      <c r="R55" s="184">
        <f>R9-R22</f>
        <v>11657263.829999983</v>
      </c>
      <c r="S55" s="168">
        <f t="shared" si="18"/>
        <v>45726085.660000026</v>
      </c>
      <c r="T55" s="240">
        <f t="shared" ref="T55" si="19">T9-T22</f>
        <v>8700882.4900000095</v>
      </c>
      <c r="U55" s="195">
        <f t="shared" si="18"/>
        <v>36806249.349999964</v>
      </c>
      <c r="V55" s="247">
        <f t="shared" si="18"/>
        <v>9131110.6000000238</v>
      </c>
      <c r="W55" s="125">
        <f t="shared" si="18"/>
        <v>13018977</v>
      </c>
      <c r="X55" s="125">
        <f>X9-X22</f>
        <v>8560365</v>
      </c>
      <c r="Y55" s="125">
        <f>Y9-Y22</f>
        <v>11018501</v>
      </c>
      <c r="Z55" s="125">
        <f>Z9-Z22</f>
        <v>8073026</v>
      </c>
      <c r="AA55" s="125">
        <f>AA9-AA22</f>
        <v>8319026</v>
      </c>
    </row>
    <row r="56" spans="1:27" ht="42.75" customHeight="1">
      <c r="A56" s="262" t="s">
        <v>173</v>
      </c>
      <c r="B56" s="262"/>
      <c r="C56" s="262"/>
      <c r="D56" s="262"/>
      <c r="E56" s="262"/>
      <c r="F56" s="14">
        <f>F9+F36+F38-F22-F27</f>
        <v>145080035</v>
      </c>
      <c r="G56" s="14">
        <f>G9+G36+G38-G22-G27</f>
        <v>149229012</v>
      </c>
      <c r="H56" s="14">
        <f>H9+H36+H38-H22-H27</f>
        <v>93172071</v>
      </c>
      <c r="I56" s="14">
        <f>I9+I36+I38-I22-I27</f>
        <v>138911593.69</v>
      </c>
      <c r="J56" s="128">
        <f t="shared" ref="J56:W56" si="20">J9+J36+J38-(J22-J27)</f>
        <v>88641468</v>
      </c>
      <c r="K56" s="128">
        <f t="shared" si="20"/>
        <v>156150400</v>
      </c>
      <c r="L56" s="128">
        <f t="shared" si="20"/>
        <v>44816118</v>
      </c>
      <c r="M56" s="128">
        <f>M9+M36+M38-(M22-M27)</f>
        <v>27680287</v>
      </c>
      <c r="N56" s="128">
        <f>N9+N36+N38-(N22-N27)</f>
        <v>9787543</v>
      </c>
      <c r="O56" s="128">
        <f t="shared" si="20"/>
        <v>54448597.190000057</v>
      </c>
      <c r="P56" s="128">
        <f t="shared" si="20"/>
        <v>23946466.119999945</v>
      </c>
      <c r="Q56" s="147">
        <f>Q9+Q36+Q38-(Q22-Q27)</f>
        <v>105862365.93000001</v>
      </c>
      <c r="R56" s="184">
        <f>R9+R36+R38-(R22-R27)</f>
        <v>31861082.120000005</v>
      </c>
      <c r="S56" s="168">
        <f t="shared" si="20"/>
        <v>148373121.19000006</v>
      </c>
      <c r="T56" s="238">
        <f>T9+T36+T38-(T22-T27)</f>
        <v>56620546.290000021</v>
      </c>
      <c r="U56" s="191">
        <f>U9+U36+U38-(U22-U27)</f>
        <v>160049477.36999989</v>
      </c>
      <c r="V56" s="247">
        <f t="shared" si="20"/>
        <v>86805061.600000024</v>
      </c>
      <c r="W56" s="125">
        <f t="shared" si="20"/>
        <v>30564907</v>
      </c>
      <c r="X56" s="125">
        <f>X9+X36+X38-(X22-X27)</f>
        <v>8560365</v>
      </c>
      <c r="Y56" s="125">
        <f>Y9+Y36+Y38-(Y22-Y27)</f>
        <v>11297637</v>
      </c>
      <c r="Z56" s="125">
        <f>Z9+Z36+Z38-(Z22-Z27)</f>
        <v>8352162</v>
      </c>
      <c r="AA56" s="125">
        <f>AA9+AA36+AA38-(AA22-AA27)</f>
        <v>8598162</v>
      </c>
    </row>
    <row r="57" spans="1:27" ht="18" customHeight="1">
      <c r="A57" s="260" t="s">
        <v>107</v>
      </c>
      <c r="B57" s="260"/>
      <c r="C57" s="260"/>
      <c r="D57" s="260"/>
      <c r="E57" s="260"/>
      <c r="F57" s="70"/>
      <c r="G57" s="70"/>
      <c r="H57" s="70"/>
      <c r="I57" s="70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43.5" customHeight="1">
      <c r="A58" s="91" t="s">
        <v>124</v>
      </c>
      <c r="B58" s="277" t="s">
        <v>174</v>
      </c>
      <c r="C58" s="277"/>
      <c r="D58" s="277"/>
      <c r="E58" s="277"/>
      <c r="F58" s="45">
        <f t="shared" ref="F58:W58" si="21">(F24+F29+F45)/F8</f>
        <v>1.3579829361425779E-3</v>
      </c>
      <c r="G58" s="45">
        <f t="shared" si="21"/>
        <v>7.9758885414294104E-3</v>
      </c>
      <c r="H58" s="45">
        <f t="shared" si="21"/>
        <v>1.6263193414980798E-3</v>
      </c>
      <c r="I58" s="45">
        <f t="shared" si="21"/>
        <v>0</v>
      </c>
      <c r="J58" s="45">
        <f t="shared" si="21"/>
        <v>1.7484782142085647E-3</v>
      </c>
      <c r="K58" s="45">
        <f t="shared" si="21"/>
        <v>2.3321187188207865E-5</v>
      </c>
      <c r="L58" s="45">
        <f t="shared" si="21"/>
        <v>3.1021134961067031E-3</v>
      </c>
      <c r="M58" s="45">
        <f>(M24+M29+M45)/M8</f>
        <v>8.5170496710688991E-4</v>
      </c>
      <c r="N58" s="45">
        <f>(N24+N29+N45)/N8</f>
        <v>6.519036913623784E-3</v>
      </c>
      <c r="O58" s="45">
        <f t="shared" si="21"/>
        <v>2.2668581391363024E-3</v>
      </c>
      <c r="P58" s="45">
        <f t="shared" si="21"/>
        <v>6.8269820305632209E-3</v>
      </c>
      <c r="Q58" s="45">
        <f>(Q24+Q29+Q45)/Q8</f>
        <v>2.2878230918698316E-3</v>
      </c>
      <c r="R58" s="45">
        <f>(R24+R29+R45)/R8</f>
        <v>4.7700693074206367E-3</v>
      </c>
      <c r="S58" s="45">
        <f t="shared" si="21"/>
        <v>2.0785935623345232E-3</v>
      </c>
      <c r="T58" s="45">
        <f t="shared" ref="T58" si="22">(T24+T29+T45)/T8</f>
        <v>4.6436192482843851E-3</v>
      </c>
      <c r="U58" s="45">
        <f t="shared" si="21"/>
        <v>2.080296764840324E-3</v>
      </c>
      <c r="V58" s="45">
        <f t="shared" si="21"/>
        <v>4.3989635660853553E-3</v>
      </c>
      <c r="W58" s="45">
        <f t="shared" si="21"/>
        <v>1.6901634948797969E-2</v>
      </c>
      <c r="X58" s="45">
        <f>(X24+X29+X45)/X8</f>
        <v>1.6074312426433021E-2</v>
      </c>
      <c r="Y58" s="45">
        <f>(Y24+Y29+Y45)/Y8</f>
        <v>1.5533770034178065E-2</v>
      </c>
      <c r="Z58" s="45">
        <f>(Z24+Z29+Z45)/Z8</f>
        <v>1.5102300915504073E-2</v>
      </c>
      <c r="AA58" s="45">
        <f>(AA24+AA29+AA45)/AA8</f>
        <v>1.4540553576016541E-2</v>
      </c>
    </row>
    <row r="59" spans="1:27" ht="45.75" customHeight="1">
      <c r="A59" s="91" t="s">
        <v>125</v>
      </c>
      <c r="B59" s="277" t="s">
        <v>175</v>
      </c>
      <c r="C59" s="277"/>
      <c r="D59" s="277"/>
      <c r="E59" s="277"/>
      <c r="F59" s="45">
        <f t="shared" ref="F59:W59" si="23">(((F24-F25)+(F29-F31-F32)+(F45-F46))/(F8-F119))</f>
        <v>1.3579829361425779E-3</v>
      </c>
      <c r="G59" s="45">
        <f t="shared" si="23"/>
        <v>7.9758885414294104E-3</v>
      </c>
      <c r="H59" s="45">
        <f t="shared" si="23"/>
        <v>1.6263193414980798E-3</v>
      </c>
      <c r="I59" s="45">
        <f t="shared" si="23"/>
        <v>0</v>
      </c>
      <c r="J59" s="45">
        <f t="shared" si="23"/>
        <v>1.7484782142085647E-3</v>
      </c>
      <c r="K59" s="45">
        <f t="shared" si="23"/>
        <v>2.3321187188207865E-5</v>
      </c>
      <c r="L59" s="45">
        <f t="shared" si="23"/>
        <v>3.0171808173062157E-3</v>
      </c>
      <c r="M59" s="45">
        <f>(((M24-M25)+(M29-M31-M32)+(M45-M46))/(M8-M119))</f>
        <v>8.5170496710688991E-4</v>
      </c>
      <c r="N59" s="45">
        <f>(((N24-N25)+(N29-N31-N32)+(N45-N46))/(N8-N119))</f>
        <v>6.519036913623784E-3</v>
      </c>
      <c r="O59" s="45">
        <f t="shared" si="23"/>
        <v>2.2668581391363024E-3</v>
      </c>
      <c r="P59" s="45">
        <f t="shared" si="23"/>
        <v>6.8269820305632209E-3</v>
      </c>
      <c r="Q59" s="45">
        <f>(((Q24-Q25)+(Q29-Q31-Q32)+(Q45-Q46))/(Q8-Q119))</f>
        <v>2.2878230918698316E-3</v>
      </c>
      <c r="R59" s="45">
        <f>(((R24-R25)+(R29-R31-R32)+(R45-R46))/(R8-R119))</f>
        <v>4.7700693074206367E-3</v>
      </c>
      <c r="S59" s="45">
        <f t="shared" si="23"/>
        <v>2.0785935623345232E-3</v>
      </c>
      <c r="T59" s="45">
        <f t="shared" ref="T59" si="24">(((T24-T25)+(T29-T31-T32)+(T45-T46))/(T8-T119))</f>
        <v>4.6436192482843851E-3</v>
      </c>
      <c r="U59" s="45">
        <f t="shared" si="23"/>
        <v>2.080296764840324E-3</v>
      </c>
      <c r="V59" s="45">
        <f t="shared" si="23"/>
        <v>4.3989635660853553E-3</v>
      </c>
      <c r="W59" s="45">
        <f t="shared" si="23"/>
        <v>1.6901634948797969E-2</v>
      </c>
      <c r="X59" s="45">
        <f>(((X24-X25)+(X29-X31-X32)+(X45-X46))/(X8-X119))</f>
        <v>1.6074312426433021E-2</v>
      </c>
      <c r="Y59" s="45">
        <f>(((Y24-Y25)+(Y29-Y31-Y32)+(Y45-Y46))/(Y8-Y119))</f>
        <v>1.5533770034178065E-2</v>
      </c>
      <c r="Z59" s="45">
        <f>(((Z24-Z25)+(Z29-Z31-Z32)+(Z45-Z46))/(Z8-Z119))</f>
        <v>1.5102300915504073E-2</v>
      </c>
      <c r="AA59" s="45">
        <f>(((AA24-AA25)+(AA29-AA31-AA32)+(AA45-AA46))/(AA8-AA119))</f>
        <v>1.4540553576016541E-2</v>
      </c>
    </row>
    <row r="60" spans="1:27" s="90" customFormat="1" ht="31.5" customHeight="1">
      <c r="A60" s="91" t="s">
        <v>37</v>
      </c>
      <c r="B60" s="277" t="s">
        <v>126</v>
      </c>
      <c r="C60" s="277"/>
      <c r="D60" s="277"/>
      <c r="E60" s="277"/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104">
        <v>826980</v>
      </c>
      <c r="M60" s="104">
        <v>0</v>
      </c>
      <c r="N60" s="117">
        <v>1098900</v>
      </c>
      <c r="O60" s="117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</row>
    <row r="61" spans="1:27" ht="45" customHeight="1">
      <c r="A61" s="91" t="s">
        <v>38</v>
      </c>
      <c r="B61" s="277" t="s">
        <v>176</v>
      </c>
      <c r="C61" s="277"/>
      <c r="D61" s="277"/>
      <c r="E61" s="277"/>
      <c r="F61" s="45">
        <f t="shared" ref="F61:W61" si="25">(((F24-F25)+(F29-F31-F32)+(F45-F46)+F60)/(F8-F119))</f>
        <v>1.3579829361425779E-3</v>
      </c>
      <c r="G61" s="45">
        <f t="shared" si="25"/>
        <v>7.9758885414294104E-3</v>
      </c>
      <c r="H61" s="45">
        <f t="shared" si="25"/>
        <v>1.6263193414980798E-3</v>
      </c>
      <c r="I61" s="45">
        <f t="shared" si="25"/>
        <v>0</v>
      </c>
      <c r="J61" s="45">
        <f t="shared" si="25"/>
        <v>1.7484782142085647E-3</v>
      </c>
      <c r="K61" s="45">
        <f t="shared" si="25"/>
        <v>2.3321187188207865E-5</v>
      </c>
      <c r="L61" s="45">
        <f t="shared" si="25"/>
        <v>5.2112153256130616E-3</v>
      </c>
      <c r="M61" s="45">
        <f>(((M24-M25)+(M29-M31-M32)+(M45-M46)+M60)/(M8-M119))</f>
        <v>8.5170496710688991E-4</v>
      </c>
      <c r="N61" s="45">
        <f>(((N24-N25)+(N29-N31-N32)+(N45-N46)+N60)/(N8-N119))</f>
        <v>9.5204814007772282E-3</v>
      </c>
      <c r="O61" s="45">
        <f t="shared" si="25"/>
        <v>2.2668581391363024E-3</v>
      </c>
      <c r="P61" s="45">
        <f t="shared" si="25"/>
        <v>6.8269820305632209E-3</v>
      </c>
      <c r="Q61" s="45">
        <f>(((Q24-Q25)+(Q29-Q31-Q32)+(Q45-Q46)+Q60)/(Q8-Q119))</f>
        <v>2.2878230918698316E-3</v>
      </c>
      <c r="R61" s="45">
        <f>(((R24-R25)+(R29-R31-R32)+(R45-R46)+R60)/(R8-R119))</f>
        <v>4.7700693074206367E-3</v>
      </c>
      <c r="S61" s="45">
        <f t="shared" si="25"/>
        <v>2.0785935623345232E-3</v>
      </c>
      <c r="T61" s="45">
        <f t="shared" ref="T61" si="26">(((T24-T25)+(T29-T31-T32)+(T45-T46)+T60)/(T8-T119))</f>
        <v>4.6436192482843851E-3</v>
      </c>
      <c r="U61" s="45">
        <f t="shared" si="25"/>
        <v>2.080296764840324E-3</v>
      </c>
      <c r="V61" s="45">
        <f t="shared" si="25"/>
        <v>4.3989635660853553E-3</v>
      </c>
      <c r="W61" s="45">
        <f t="shared" si="25"/>
        <v>1.6901634948797969E-2</v>
      </c>
      <c r="X61" s="45">
        <f>(((X24-X25)+(X29-X31-X32)+(X45-X46)+X60)/(X8-X119))</f>
        <v>1.6074312426433021E-2</v>
      </c>
      <c r="Y61" s="45">
        <f>(((Y24-Y25)+(Y29-Y31-Y32)+(Y45-Y46)+Y60)/(Y8-Y119))</f>
        <v>1.5533770034178065E-2</v>
      </c>
      <c r="Z61" s="45">
        <f>(((Z24-Z25)+(Z29-Z31-Z32)+(Z45-Z46)+Z60)/(Z8-Z119))</f>
        <v>1.5102300915504073E-2</v>
      </c>
      <c r="AA61" s="45">
        <f>(((AA24-AA25)+(AA29-AA31-AA32)+(AA45-AA46)+AA60)/(AA8-AA119))</f>
        <v>1.4540553576016541E-2</v>
      </c>
    </row>
    <row r="62" spans="1:27" s="90" customFormat="1" ht="36.75" customHeight="1">
      <c r="A62" s="91" t="s">
        <v>39</v>
      </c>
      <c r="B62" s="277" t="s">
        <v>177</v>
      </c>
      <c r="C62" s="277"/>
      <c r="D62" s="277"/>
      <c r="E62" s="277"/>
      <c r="F62" s="45">
        <f t="shared" ref="F62:W62" si="27">((F9-F119)+(F19)-(F22-F27-F120))/(F8-F119)</f>
        <v>0.19582082321412619</v>
      </c>
      <c r="G62" s="45">
        <f t="shared" si="27"/>
        <v>0.20199205303823189</v>
      </c>
      <c r="H62" s="45">
        <f t="shared" si="27"/>
        <v>4.9747957938004315E-2</v>
      </c>
      <c r="I62" s="45">
        <f t="shared" si="27"/>
        <v>9.4861386185850077E-2</v>
      </c>
      <c r="J62" s="45">
        <f t="shared" si="27"/>
        <v>5.2085908132884308E-2</v>
      </c>
      <c r="K62" s="45">
        <f t="shared" si="27"/>
        <v>0.10798794675402332</v>
      </c>
      <c r="L62" s="45">
        <f t="shared" si="27"/>
        <v>4.3909552897298337E-2</v>
      </c>
      <c r="M62" s="45">
        <f>((M9-M119)+(M19)-(M22-M27-M120))/(M8-M119)</f>
        <v>-5.6442751483747659E-2</v>
      </c>
      <c r="N62" s="45">
        <f>((N9-N119)+(N19)-(N22-N27-N120))/(N8-N119)</f>
        <v>3.5534191143745994E-2</v>
      </c>
      <c r="O62" s="45">
        <f t="shared" si="27"/>
        <v>7.3934780773876968E-2</v>
      </c>
      <c r="P62" s="45">
        <f t="shared" si="27"/>
        <v>5.9727651401361853E-2</v>
      </c>
      <c r="Q62" s="45">
        <f>((Q9-Q119)+(Q19)-(Q22-Q27-Q120))/(Q8-Q119)</f>
        <v>0.13795081961703254</v>
      </c>
      <c r="R62" s="45">
        <f>((R9-R119)+(R19)-(R22-R27-R120))/(R8-R119)</f>
        <v>3.5806538399844143E-2</v>
      </c>
      <c r="S62" s="45">
        <f t="shared" si="27"/>
        <v>0.11017175498022827</v>
      </c>
      <c r="T62" s="45">
        <f t="shared" ref="T62" si="28">((T9-T119)+(T19)-(T22-T27-T120))/(T8-T119)</f>
        <v>2.7406927873869297E-2</v>
      </c>
      <c r="U62" s="45">
        <f t="shared" si="27"/>
        <v>8.7457058141343219E-2</v>
      </c>
      <c r="V62" s="45">
        <f t="shared" si="27"/>
        <v>2.6495102377046595E-2</v>
      </c>
      <c r="W62" s="45">
        <f t="shared" si="27"/>
        <v>2.8466160409937574E-2</v>
      </c>
      <c r="X62" s="45">
        <f>((X9-X119)+(X19)-(X22-X27-X120))/(X8-X119)</f>
        <v>1.9414497862997177E-2</v>
      </c>
      <c r="Y62" s="45">
        <f>((Y9-Y119)+(Y19)-(Y22-Y27-Y120))/(Y8-Y119)</f>
        <v>2.4973610272714202E-2</v>
      </c>
      <c r="Z62" s="45">
        <f>((Z9-Z119)+(Z19)-(Z22-Z27-Z120))/(Z8-Z119)</f>
        <v>1.8434962915096203E-2</v>
      </c>
      <c r="AA62" s="45">
        <f>((AA9-AA119)+(AA19)-(AA22-AA27-AA120))/(AA8-AA119)</f>
        <v>1.8996710254583736E-2</v>
      </c>
    </row>
    <row r="63" spans="1:27" s="34" customFormat="1" ht="18.75" hidden="1" customHeight="1">
      <c r="A63" s="101" t="s">
        <v>113</v>
      </c>
      <c r="B63" s="279" t="s">
        <v>109</v>
      </c>
      <c r="C63" s="280"/>
      <c r="D63" s="280"/>
      <c r="E63" s="281"/>
      <c r="F63" s="39">
        <f t="shared" ref="F63:W63" si="29">(F9-F22+F19)/F8</f>
        <v>0.19582082321412619</v>
      </c>
      <c r="G63" s="51">
        <f t="shared" si="29"/>
        <v>0.20199205303823189</v>
      </c>
      <c r="H63" s="51">
        <f t="shared" si="29"/>
        <v>4.9747957938004315E-2</v>
      </c>
      <c r="I63" s="51">
        <f t="shared" si="29"/>
        <v>9.4861386185850133E-2</v>
      </c>
      <c r="J63" s="46">
        <f t="shared" si="29"/>
        <v>5.2085908132884308E-2</v>
      </c>
      <c r="K63" s="46">
        <f t="shared" si="29"/>
        <v>0.10798794675402332</v>
      </c>
      <c r="L63" s="46">
        <f t="shared" si="29"/>
        <v>4.3909552897298337E-2</v>
      </c>
      <c r="M63" s="46">
        <f>(M9-M22+M19)/M8</f>
        <v>-5.6442751483747659E-2</v>
      </c>
      <c r="N63" s="46">
        <f>(N9-N22+N19)/N8</f>
        <v>3.5534191143745994E-2</v>
      </c>
      <c r="O63" s="46">
        <f t="shared" si="29"/>
        <v>7.3934780773876968E-2</v>
      </c>
      <c r="P63" s="46">
        <f t="shared" si="29"/>
        <v>5.9727651401361853E-2</v>
      </c>
      <c r="Q63" s="46">
        <f>(Q9-Q22+Q19)/Q8</f>
        <v>0.13795081961703254</v>
      </c>
      <c r="R63" s="46">
        <f>(R9-R22+R19)/R8</f>
        <v>3.5806538399844143E-2</v>
      </c>
      <c r="S63" s="46">
        <f t="shared" si="29"/>
        <v>0.11017175498022831</v>
      </c>
      <c r="T63" s="46">
        <f t="shared" ref="T63" si="30">(T9-T22+T19)/T8</f>
        <v>2.7406927873869297E-2</v>
      </c>
      <c r="U63" s="46">
        <f t="shared" si="29"/>
        <v>8.7457058141343288E-2</v>
      </c>
      <c r="V63" s="46">
        <f t="shared" si="29"/>
        <v>2.6495102377046595E-2</v>
      </c>
      <c r="W63" s="46">
        <f t="shared" si="29"/>
        <v>2.8466160409937574E-2</v>
      </c>
      <c r="X63" s="46">
        <f>(X9-X22+X19)/X8</f>
        <v>1.9414497862997177E-2</v>
      </c>
      <c r="Y63" s="46">
        <f>(Y9-Y22+Y19)/Y8</f>
        <v>2.4973610272714202E-2</v>
      </c>
      <c r="Z63" s="46">
        <f>(Z9-Z22+Z19)/Z8</f>
        <v>1.8434962915096203E-2</v>
      </c>
      <c r="AA63" s="46">
        <f>(AA9-AA22+AA19)/AA8</f>
        <v>1.8996710254583736E-2</v>
      </c>
    </row>
    <row r="64" spans="1:27" ht="45" customHeight="1">
      <c r="A64" s="91" t="s">
        <v>40</v>
      </c>
      <c r="B64" s="277" t="s">
        <v>180</v>
      </c>
      <c r="C64" s="277"/>
      <c r="D64" s="277"/>
      <c r="E64" s="277"/>
      <c r="F64" s="19"/>
      <c r="G64" s="19"/>
      <c r="H64" s="19"/>
      <c r="I64" s="19"/>
      <c r="J64" s="45">
        <f>(F63+G63+H63)/3</f>
        <v>0.14918694473012079</v>
      </c>
      <c r="K64" s="45">
        <f>(G63+H63+I63)/3</f>
        <v>0.11553379905402879</v>
      </c>
      <c r="L64" s="45">
        <f>(G62+I62+J62)/3</f>
        <v>0.11631311578565544</v>
      </c>
      <c r="M64" s="45">
        <f>(G62+I62+J62)/3</f>
        <v>0.11631311578565544</v>
      </c>
      <c r="N64" s="45">
        <f>(I62+K62+L62)/3</f>
        <v>8.2252961945723915E-2</v>
      </c>
      <c r="O64" s="45">
        <f>(I62+K62+L62)/3</f>
        <v>8.2252961945723915E-2</v>
      </c>
      <c r="P64" s="45">
        <f>(K62+M62+N62)/3</f>
        <v>2.902646213800722E-2</v>
      </c>
      <c r="Q64" s="45">
        <f>(K62+M62+N62)/3</f>
        <v>2.902646213800722E-2</v>
      </c>
      <c r="R64" s="45">
        <f>(M62+O62+P62)/3</f>
        <v>2.5739893563830385E-2</v>
      </c>
      <c r="S64" s="45">
        <f>(M62+O62+P62)/3</f>
        <v>2.5739893563830385E-2</v>
      </c>
      <c r="T64" s="45">
        <f>(O62+Q62+R62)/3</f>
        <v>8.2564046263584545E-2</v>
      </c>
      <c r="U64" s="45">
        <f>(O62+Q62+R62)/3</f>
        <v>8.2564046263584545E-2</v>
      </c>
      <c r="V64" s="45">
        <f>(Q62+S62+T62)/3</f>
        <v>9.1843167490376701E-2</v>
      </c>
      <c r="W64" s="45">
        <f>(S62+T62+V62)/3</f>
        <v>5.4691261743714727E-2</v>
      </c>
      <c r="X64" s="45">
        <f>(T62+V62+W62)/3</f>
        <v>2.7456063553617821E-2</v>
      </c>
      <c r="Y64" s="45">
        <f>(V62+W62+X62)/3</f>
        <v>2.4791920216660449E-2</v>
      </c>
      <c r="Z64" s="45">
        <f>(W62+X62+Y62)/3</f>
        <v>2.4284756181882985E-2</v>
      </c>
      <c r="AA64" s="45">
        <f>(X62+Y62+Z62)/3</f>
        <v>2.0941023683602528E-2</v>
      </c>
    </row>
    <row r="65" spans="1:33" ht="45" customHeight="1">
      <c r="A65" s="99" t="s">
        <v>127</v>
      </c>
      <c r="B65" s="23"/>
      <c r="C65" s="277" t="s">
        <v>178</v>
      </c>
      <c r="D65" s="277"/>
      <c r="E65" s="277"/>
      <c r="F65" s="19"/>
      <c r="G65" s="19"/>
      <c r="H65" s="19"/>
      <c r="I65" s="19"/>
      <c r="J65" s="45">
        <f>(F63+G63+I63)/3</f>
        <v>0.16422475414606941</v>
      </c>
      <c r="K65" s="45">
        <f>(G63+H63+J63)/3</f>
        <v>0.10127530636970684</v>
      </c>
      <c r="L65" s="45">
        <f>(G62+I62+K62)/3</f>
        <v>0.13494712865936842</v>
      </c>
      <c r="M65" s="45">
        <f>(G62+I62+K62)/3</f>
        <v>0.13494712865936842</v>
      </c>
      <c r="N65" s="45">
        <f>(I62+K62+M62)/3</f>
        <v>4.8802193818708574E-2</v>
      </c>
      <c r="O65" s="45">
        <f>(I62+K62+M62)/3</f>
        <v>4.8802193818708574E-2</v>
      </c>
      <c r="P65" s="45">
        <f>(K62+M62+O62)/3</f>
        <v>4.1826658681384209E-2</v>
      </c>
      <c r="Q65" s="45">
        <f>(K62+M62+O62)/3</f>
        <v>4.1826658681384209E-2</v>
      </c>
      <c r="R65" s="45">
        <f>(M62+O62+Q62)/3</f>
        <v>5.1814282969053944E-2</v>
      </c>
      <c r="S65" s="45">
        <f>(M62+O62+Q62)/3</f>
        <v>5.1814282969053944E-2</v>
      </c>
      <c r="T65" s="45">
        <f>(O62+Q62+S62)/3</f>
        <v>0.10735245179037926</v>
      </c>
      <c r="U65" s="45">
        <f>(O62+Q62+S62)/3</f>
        <v>0.10735245179037926</v>
      </c>
      <c r="V65" s="45">
        <f>(Q62+S62+U62)/3</f>
        <v>0.11185987757953468</v>
      </c>
      <c r="W65" s="45">
        <f>(S62+U62+V62)/3</f>
        <v>7.4707971832872699E-2</v>
      </c>
      <c r="X65" s="45">
        <f>(U62+V62+W62)/3</f>
        <v>4.7472773642775801E-2</v>
      </c>
      <c r="Y65" s="45">
        <f>(V62+W62+X62)/3</f>
        <v>2.4791920216660449E-2</v>
      </c>
      <c r="Z65" s="45">
        <f>(W62+X62+Y62)/3</f>
        <v>2.4284756181882985E-2</v>
      </c>
      <c r="AA65" s="45">
        <f>(X62+Y62+Z62)/3</f>
        <v>2.0941023683602528E-2</v>
      </c>
    </row>
    <row r="66" spans="1:33" ht="50.25" customHeight="1">
      <c r="A66" s="91" t="s">
        <v>41</v>
      </c>
      <c r="B66" s="277" t="s">
        <v>566</v>
      </c>
      <c r="C66" s="277"/>
      <c r="D66" s="277"/>
      <c r="E66" s="277"/>
      <c r="F66" s="19"/>
      <c r="G66" s="19"/>
      <c r="H66" s="19"/>
      <c r="I66" s="19"/>
      <c r="J66" s="96" t="str">
        <f>IF(J61&lt;=J64,"tak","nie")</f>
        <v>tak</v>
      </c>
      <c r="K66" s="96" t="str">
        <f t="shared" ref="K66:W66" si="31">IF(K61&lt;=K64,"tak","nie")</f>
        <v>tak</v>
      </c>
      <c r="L66" s="96" t="str">
        <f t="shared" si="31"/>
        <v>tak</v>
      </c>
      <c r="M66" s="96" t="str">
        <f>IF(M61&lt;=M64,"tak","nie")</f>
        <v>tak</v>
      </c>
      <c r="N66" s="96" t="str">
        <f>IF(N61&lt;=N64,"tak","nie")</f>
        <v>tak</v>
      </c>
      <c r="O66" s="96" t="str">
        <f t="shared" si="31"/>
        <v>tak</v>
      </c>
      <c r="P66" s="96" t="str">
        <f t="shared" si="31"/>
        <v>tak</v>
      </c>
      <c r="Q66" s="96" t="str">
        <f>IF(Q61&lt;=Q64,"tak","nie")</f>
        <v>tak</v>
      </c>
      <c r="R66" s="96" t="str">
        <f>IF(R61&lt;=R64,"tak","nie")</f>
        <v>tak</v>
      </c>
      <c r="S66" s="96" t="str">
        <f t="shared" si="31"/>
        <v>tak</v>
      </c>
      <c r="T66" s="96" t="str">
        <f t="shared" ref="T66" si="32">IF(T61&lt;=T64,"tak","nie")</f>
        <v>tak</v>
      </c>
      <c r="U66" s="96" t="str">
        <f t="shared" si="31"/>
        <v>tak</v>
      </c>
      <c r="V66" s="96" t="str">
        <f t="shared" si="31"/>
        <v>tak</v>
      </c>
      <c r="W66" s="96" t="str">
        <f t="shared" si="31"/>
        <v>tak</v>
      </c>
      <c r="X66" s="96" t="str">
        <f>IF(X61&lt;=X64,"tak","nie")</f>
        <v>tak</v>
      </c>
      <c r="Y66" s="96" t="str">
        <f>IF(Y61&lt;=Y64,"tak","nie")</f>
        <v>tak</v>
      </c>
      <c r="Z66" s="96" t="str">
        <f>IF(Z61&lt;=Z64,"tak","nie")</f>
        <v>tak</v>
      </c>
      <c r="AA66" s="96" t="str">
        <f>IF(AA61&lt;=AA64,"tak","nie")</f>
        <v>tak</v>
      </c>
    </row>
    <row r="67" spans="1:33" ht="50.25" customHeight="1">
      <c r="A67" s="99" t="s">
        <v>42</v>
      </c>
      <c r="B67" s="23"/>
      <c r="C67" s="277" t="s">
        <v>179</v>
      </c>
      <c r="D67" s="277"/>
      <c r="E67" s="277"/>
      <c r="F67" s="19"/>
      <c r="G67" s="19"/>
      <c r="H67" s="19"/>
      <c r="I67" s="19"/>
      <c r="J67" s="96" t="str">
        <f>IF(J61&lt;=J65,"tak","nie")</f>
        <v>tak</v>
      </c>
      <c r="K67" s="96" t="str">
        <f t="shared" ref="K67:W67" si="33">IF(K61&lt;=K65,"tak","nie")</f>
        <v>tak</v>
      </c>
      <c r="L67" s="96" t="str">
        <f t="shared" si="33"/>
        <v>tak</v>
      </c>
      <c r="M67" s="96" t="str">
        <f>IF(M61&lt;=M65,"tak","nie")</f>
        <v>tak</v>
      </c>
      <c r="N67" s="96" t="str">
        <f>IF(N61&lt;=N65,"tak","nie")</f>
        <v>tak</v>
      </c>
      <c r="O67" s="96" t="str">
        <f t="shared" si="33"/>
        <v>tak</v>
      </c>
      <c r="P67" s="96" t="str">
        <f t="shared" si="33"/>
        <v>tak</v>
      </c>
      <c r="Q67" s="96" t="str">
        <f>IF(Q61&lt;=Q65,"tak","nie")</f>
        <v>tak</v>
      </c>
      <c r="R67" s="96" t="str">
        <f>IF(R61&lt;=R65,"tak","nie")</f>
        <v>tak</v>
      </c>
      <c r="S67" s="96" t="str">
        <f t="shared" si="33"/>
        <v>tak</v>
      </c>
      <c r="T67" s="96" t="str">
        <f t="shared" ref="T67" si="34">IF(T61&lt;=T65,"tak","nie")</f>
        <v>tak</v>
      </c>
      <c r="U67" s="96" t="str">
        <f t="shared" si="33"/>
        <v>tak</v>
      </c>
      <c r="V67" s="96" t="str">
        <f t="shared" si="33"/>
        <v>tak</v>
      </c>
      <c r="W67" s="96" t="str">
        <f t="shared" si="33"/>
        <v>tak</v>
      </c>
      <c r="X67" s="96" t="str">
        <f>IF(X61&lt;=X65,"tak","nie")</f>
        <v>tak</v>
      </c>
      <c r="Y67" s="96" t="str">
        <f>IF(Y61&lt;=Y65,"tak","nie")</f>
        <v>tak</v>
      </c>
      <c r="Z67" s="96" t="str">
        <f>IF(Z61&lt;=Z65,"tak","nie")</f>
        <v>tak</v>
      </c>
      <c r="AA67" s="96" t="str">
        <f>IF(AA61&lt;=AA65,"tak","nie")</f>
        <v>tak</v>
      </c>
    </row>
    <row r="68" spans="1:33" ht="20.25" customHeight="1">
      <c r="A68" s="278" t="s">
        <v>181</v>
      </c>
      <c r="B68" s="278"/>
      <c r="C68" s="278"/>
      <c r="D68" s="278"/>
      <c r="E68" s="278"/>
      <c r="F68" s="72"/>
      <c r="G68" s="72"/>
      <c r="H68" s="72"/>
      <c r="I68" s="72"/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169">
        <v>0</v>
      </c>
      <c r="S68" s="169">
        <v>0</v>
      </c>
      <c r="T68" s="73">
        <v>0</v>
      </c>
      <c r="U68" s="73">
        <v>0</v>
      </c>
      <c r="V68" s="73"/>
      <c r="W68" s="73"/>
      <c r="X68" s="73">
        <f>X34</f>
        <v>6000000</v>
      </c>
      <c r="Y68" s="73">
        <f>Y34</f>
        <v>5720864</v>
      </c>
      <c r="Z68" s="73">
        <f>Z34</f>
        <v>5720864</v>
      </c>
      <c r="AA68" s="73">
        <f>AA34</f>
        <v>5720864</v>
      </c>
    </row>
    <row r="69" spans="1:33" ht="15.75" customHeight="1">
      <c r="A69" s="277" t="s">
        <v>102</v>
      </c>
      <c r="B69" s="277"/>
      <c r="C69" s="277"/>
      <c r="D69" s="277"/>
      <c r="E69" s="277"/>
      <c r="F69" s="19"/>
      <c r="G69" s="19"/>
      <c r="H69" s="19"/>
      <c r="I69" s="19"/>
      <c r="J69" s="44">
        <v>0</v>
      </c>
      <c r="K69" s="44">
        <v>0</v>
      </c>
      <c r="L69" s="47">
        <v>0</v>
      </c>
      <c r="M69" s="47">
        <v>0</v>
      </c>
      <c r="N69" s="122">
        <v>0</v>
      </c>
      <c r="O69" s="43">
        <v>0</v>
      </c>
      <c r="P69" s="58">
        <v>0</v>
      </c>
      <c r="Q69" s="148">
        <v>0</v>
      </c>
      <c r="R69" s="184">
        <v>0</v>
      </c>
      <c r="S69" s="168">
        <v>0</v>
      </c>
      <c r="T69" s="239">
        <v>0</v>
      </c>
      <c r="U69" s="83">
        <v>0</v>
      </c>
      <c r="V69" s="83">
        <v>0</v>
      </c>
      <c r="W69" s="121">
        <v>0</v>
      </c>
      <c r="X69" s="120">
        <f>X68</f>
        <v>6000000</v>
      </c>
      <c r="Y69" s="120">
        <f>Y68</f>
        <v>5720864</v>
      </c>
      <c r="Z69" s="120">
        <f>Z68</f>
        <v>5720864</v>
      </c>
      <c r="AA69" s="120">
        <f>AA68</f>
        <v>5720864</v>
      </c>
    </row>
    <row r="70" spans="1:33" ht="18.75" customHeight="1">
      <c r="A70" s="278" t="s">
        <v>101</v>
      </c>
      <c r="B70" s="278"/>
      <c r="C70" s="278"/>
      <c r="D70" s="278"/>
      <c r="E70" s="278"/>
      <c r="F70" s="72"/>
      <c r="G70" s="72"/>
      <c r="H70" s="72"/>
      <c r="I70" s="72"/>
      <c r="J70" s="74"/>
      <c r="K70" s="74"/>
      <c r="L70" s="75"/>
      <c r="M70" s="75"/>
      <c r="N70" s="76"/>
      <c r="O70" s="76"/>
      <c r="P70" s="77"/>
      <c r="Q70" s="77"/>
      <c r="R70" s="170"/>
      <c r="S70" s="170"/>
      <c r="T70" s="77"/>
      <c r="U70" s="77"/>
      <c r="V70" s="77"/>
      <c r="W70" s="77"/>
      <c r="X70" s="77"/>
      <c r="Y70" s="77"/>
      <c r="Z70" s="77"/>
      <c r="AA70" s="77"/>
    </row>
    <row r="71" spans="1:33" s="140" customFormat="1" ht="15.75" customHeight="1">
      <c r="A71" s="157" t="s">
        <v>43</v>
      </c>
      <c r="B71" s="282" t="s">
        <v>44</v>
      </c>
      <c r="C71" s="282"/>
      <c r="D71" s="282"/>
      <c r="E71" s="282"/>
      <c r="F71" s="158">
        <f>124811848</f>
        <v>124811848</v>
      </c>
      <c r="G71" s="158">
        <f>133665672</f>
        <v>133665672</v>
      </c>
      <c r="H71" s="158">
        <f>139235211</f>
        <v>139235211</v>
      </c>
      <c r="I71" s="158">
        <f>141436396.31</f>
        <v>141436396.31</v>
      </c>
      <c r="J71" s="159">
        <v>142795379</v>
      </c>
      <c r="K71" s="159">
        <v>144525984</v>
      </c>
      <c r="L71" s="159">
        <v>144227774</v>
      </c>
      <c r="M71" s="159">
        <v>148387173</v>
      </c>
      <c r="N71" s="159">
        <v>154495256</v>
      </c>
      <c r="O71" s="160">
        <v>153559735.13</v>
      </c>
      <c r="P71" s="161">
        <v>154851739.30000001</v>
      </c>
      <c r="Q71" s="161">
        <v>155662049.83000001</v>
      </c>
      <c r="R71" s="161">
        <f>158827564.2-165559</f>
        <v>158662005.19999999</v>
      </c>
      <c r="S71" s="161">
        <f>150203961.84+10982344.06</f>
        <v>161186305.90000001</v>
      </c>
      <c r="T71" s="161">
        <f>163281352.22+10517662</f>
        <v>173799014.22</v>
      </c>
      <c r="U71" s="161">
        <f>162854327.08+10487709.8</f>
        <v>173342036.88000003</v>
      </c>
      <c r="V71" s="161">
        <f>175054433+11595941</f>
        <v>186650374</v>
      </c>
      <c r="W71" s="235">
        <f>177323507+11595941</f>
        <v>188919448</v>
      </c>
      <c r="X71" s="235">
        <f>179504786+11595941</f>
        <v>191100727</v>
      </c>
      <c r="Y71" s="235">
        <f>181666961+11595941</f>
        <v>193262902</v>
      </c>
      <c r="Z71" s="159">
        <f t="shared" ref="Z71:AA72" si="35">Y71</f>
        <v>193262902</v>
      </c>
      <c r="AA71" s="159">
        <f t="shared" si="35"/>
        <v>193262902</v>
      </c>
    </row>
    <row r="72" spans="1:33" s="140" customFormat="1" ht="21" customHeight="1">
      <c r="A72" s="164" t="s">
        <v>45</v>
      </c>
      <c r="B72" s="282" t="s">
        <v>182</v>
      </c>
      <c r="C72" s="282"/>
      <c r="D72" s="282"/>
      <c r="E72" s="282"/>
      <c r="F72" s="163"/>
      <c r="G72" s="163"/>
      <c r="H72" s="163"/>
      <c r="I72" s="163"/>
      <c r="J72" s="47">
        <f>20279619+621000+15000-184859+7179</f>
        <v>20737939</v>
      </c>
      <c r="K72" s="47">
        <v>19841558</v>
      </c>
      <c r="L72" s="47">
        <f>20817697+1061429</f>
        <v>21879126</v>
      </c>
      <c r="M72" s="47">
        <v>21237013</v>
      </c>
      <c r="N72" s="47">
        <f>21675635+612873</f>
        <v>22288508</v>
      </c>
      <c r="O72" s="129">
        <f>21106455.56+682055.63</f>
        <v>21788511.189999998</v>
      </c>
      <c r="P72" s="138">
        <f>22625641+628180</f>
        <v>23253821</v>
      </c>
      <c r="Q72" s="138">
        <f>22028046.15+592443.4</f>
        <v>22620489.549999997</v>
      </c>
      <c r="R72" s="138">
        <f>23484103+1009378</f>
        <v>24493481</v>
      </c>
      <c r="S72" s="138">
        <f>22830312.47+846144.35</f>
        <v>23676456.82</v>
      </c>
      <c r="T72" s="138">
        <f>24561114+732365</f>
        <v>25293479</v>
      </c>
      <c r="U72" s="138">
        <f>23901988.23+485719.86</f>
        <v>24387708.09</v>
      </c>
      <c r="V72" s="138">
        <f>25354288+710784+6300</f>
        <v>26071372</v>
      </c>
      <c r="W72" s="121">
        <f>25513270+6300</f>
        <v>25519570</v>
      </c>
      <c r="X72" s="159">
        <f>25756276+6300</f>
        <v>25762576</v>
      </c>
      <c r="Y72" s="159">
        <f>26002319+6300</f>
        <v>26008619</v>
      </c>
      <c r="Z72" s="159">
        <f t="shared" si="35"/>
        <v>26008619</v>
      </c>
      <c r="AA72" s="159">
        <f t="shared" si="35"/>
        <v>26008619</v>
      </c>
    </row>
    <row r="73" spans="1:33" ht="15.75" customHeight="1">
      <c r="A73" s="91" t="s">
        <v>46</v>
      </c>
      <c r="B73" s="277" t="s">
        <v>128</v>
      </c>
      <c r="C73" s="277"/>
      <c r="D73" s="277"/>
      <c r="E73" s="277"/>
      <c r="F73" s="19"/>
      <c r="G73" s="41">
        <f>26766776</f>
        <v>26766776</v>
      </c>
      <c r="H73" s="41">
        <f>173544418</f>
        <v>173544418</v>
      </c>
      <c r="I73" s="82">
        <f>61382188.83</f>
        <v>61382188.829999998</v>
      </c>
      <c r="J73" s="44">
        <f t="shared" ref="J73:AA73" si="36">J74+J75</f>
        <v>175155744</v>
      </c>
      <c r="K73" s="47">
        <f t="shared" si="36"/>
        <v>159885859</v>
      </c>
      <c r="L73" s="44">
        <f t="shared" si="36"/>
        <v>83408292</v>
      </c>
      <c r="M73" s="44">
        <f t="shared" si="36"/>
        <v>65686603</v>
      </c>
      <c r="N73" s="44">
        <f>N74+N75</f>
        <v>23942632</v>
      </c>
      <c r="O73" s="131">
        <f t="shared" si="36"/>
        <v>26299663.399999999</v>
      </c>
      <c r="P73" s="138">
        <f t="shared" si="36"/>
        <v>27334790</v>
      </c>
      <c r="Q73" s="138">
        <f>Q74+Q75</f>
        <v>18209271.66</v>
      </c>
      <c r="R73" s="138">
        <f>R74+R75</f>
        <v>31775136</v>
      </c>
      <c r="S73" s="138">
        <f t="shared" si="36"/>
        <v>21895416.879999999</v>
      </c>
      <c r="T73" s="138">
        <f t="shared" ref="T73" si="37">T74+T75</f>
        <v>65978510</v>
      </c>
      <c r="U73" s="138">
        <f t="shared" si="36"/>
        <v>46262088.770000003</v>
      </c>
      <c r="V73" s="138">
        <f t="shared" si="36"/>
        <v>109312965</v>
      </c>
      <c r="W73" s="121">
        <f t="shared" si="36"/>
        <v>41608619</v>
      </c>
      <c r="X73" s="47">
        <f t="shared" si="36"/>
        <v>2937828</v>
      </c>
      <c r="Y73" s="47">
        <f t="shared" si="36"/>
        <v>0</v>
      </c>
      <c r="Z73" s="47">
        <f t="shared" si="36"/>
        <v>0</v>
      </c>
      <c r="AA73" s="47">
        <f t="shared" si="36"/>
        <v>0</v>
      </c>
    </row>
    <row r="74" spans="1:33" ht="14.25">
      <c r="A74" s="22" t="s">
        <v>47</v>
      </c>
      <c r="B74" s="24"/>
      <c r="C74" s="30"/>
      <c r="D74" s="31"/>
      <c r="E74" s="52" t="s">
        <v>48</v>
      </c>
      <c r="F74" s="10"/>
      <c r="G74" s="41">
        <f>1690557</f>
        <v>1690557</v>
      </c>
      <c r="H74" s="41">
        <f>5211188</f>
        <v>5211188</v>
      </c>
      <c r="I74" s="82">
        <f>2377384.41</f>
        <v>2377384.41</v>
      </c>
      <c r="J74" s="48">
        <v>5074633</v>
      </c>
      <c r="K74" s="48">
        <v>3584409</v>
      </c>
      <c r="L74" s="44">
        <v>4224807</v>
      </c>
      <c r="M74" s="44">
        <v>3337547</v>
      </c>
      <c r="N74" s="122">
        <v>1961271</v>
      </c>
      <c r="O74" s="135">
        <v>1662567.65</v>
      </c>
      <c r="P74" s="138">
        <v>3009067</v>
      </c>
      <c r="Q74" s="138">
        <v>2874864.69</v>
      </c>
      <c r="R74" s="138">
        <v>3291522</v>
      </c>
      <c r="S74" s="138">
        <v>3011650.11</v>
      </c>
      <c r="T74" s="138">
        <v>7033262</v>
      </c>
      <c r="U74" s="138">
        <f>4693499.38+1127.68</f>
        <v>4694627.0599999996</v>
      </c>
      <c r="V74" s="138">
        <v>9294009</v>
      </c>
      <c r="W74" s="121">
        <v>3261545</v>
      </c>
      <c r="X74" s="47">
        <v>309450</v>
      </c>
      <c r="Y74" s="47">
        <v>0</v>
      </c>
      <c r="Z74" s="47">
        <v>0</v>
      </c>
      <c r="AA74" s="47">
        <v>0</v>
      </c>
    </row>
    <row r="75" spans="1:33" ht="14.25">
      <c r="A75" s="22" t="s">
        <v>49</v>
      </c>
      <c r="B75" s="24"/>
      <c r="C75" s="30"/>
      <c r="D75" s="31"/>
      <c r="E75" s="10" t="s">
        <v>50</v>
      </c>
      <c r="F75" s="10"/>
      <c r="G75" s="41">
        <f>25076219</f>
        <v>25076219</v>
      </c>
      <c r="H75" s="41">
        <f>168333230</f>
        <v>168333230</v>
      </c>
      <c r="I75" s="82">
        <f>59004804.42</f>
        <v>59004804.420000002</v>
      </c>
      <c r="J75" s="48">
        <v>170081111</v>
      </c>
      <c r="K75" s="48">
        <v>156301450</v>
      </c>
      <c r="L75" s="44">
        <v>79183485</v>
      </c>
      <c r="M75" s="44">
        <f>61845266+503790</f>
        <v>62349056</v>
      </c>
      <c r="N75" s="122">
        <v>21981361</v>
      </c>
      <c r="O75" s="135">
        <v>24637095.75</v>
      </c>
      <c r="P75" s="138">
        <v>24325723</v>
      </c>
      <c r="Q75" s="138">
        <v>15334406.970000001</v>
      </c>
      <c r="R75" s="138">
        <v>28483614</v>
      </c>
      <c r="S75" s="138">
        <v>18883766.77</v>
      </c>
      <c r="T75" s="138">
        <v>58945248</v>
      </c>
      <c r="U75" s="138">
        <v>41567461.710000001</v>
      </c>
      <c r="V75" s="138">
        <v>100018956</v>
      </c>
      <c r="W75" s="121">
        <v>38347074</v>
      </c>
      <c r="X75" s="47">
        <v>2628378</v>
      </c>
      <c r="Y75" s="47">
        <v>0</v>
      </c>
      <c r="Z75" s="47">
        <v>0</v>
      </c>
      <c r="AA75" s="47">
        <v>0</v>
      </c>
      <c r="AB75" s="137"/>
      <c r="AC75" s="137"/>
      <c r="AD75" s="42"/>
      <c r="AE75" s="42"/>
      <c r="AF75" s="42"/>
    </row>
    <row r="76" spans="1:33" ht="15.75" customHeight="1">
      <c r="A76" s="10" t="s">
        <v>51</v>
      </c>
      <c r="B76" s="277" t="s">
        <v>183</v>
      </c>
      <c r="C76" s="277"/>
      <c r="D76" s="277"/>
      <c r="E76" s="277"/>
      <c r="F76" s="19"/>
      <c r="G76" s="19"/>
      <c r="H76" s="19"/>
      <c r="I76" s="19"/>
      <c r="J76" s="44">
        <f>J75-50000-200000-20141-31980-30000</f>
        <v>169748990</v>
      </c>
      <c r="K76" s="47">
        <f>K33-K77</f>
        <v>157979792</v>
      </c>
      <c r="L76" s="44">
        <f>L75-100000-500000-20000-20000-30000-30000-50000-48000</f>
        <v>78385485</v>
      </c>
      <c r="M76" s="44">
        <f>M75-100000-500000-20000-20000-30000-30000-50000-48000</f>
        <v>61551056</v>
      </c>
      <c r="N76" s="44">
        <f>N75-100000-44750-70000-50000-50000-80000-90000-20000+9259661-30000-50000-15867-180000-10478</f>
        <v>30449927</v>
      </c>
      <c r="O76" s="129">
        <f>O75-8677.99-521660.71-205224-48585-15867-20000-19889-155000-29889-23542.2</f>
        <v>23588760.850000001</v>
      </c>
      <c r="P76" s="138">
        <f>P75-20000-1000000-200000-800000-50000-357584-10000-10000-200000-100000-100000-50000-50000+18750-30000-600000-44600-110000-179000-40000-20000-15000-20000-45000-30000-10000</f>
        <v>20253289</v>
      </c>
      <c r="Q76" s="173">
        <f>Q75-20000-1000000-200000-800000-50000-357584-10000-10000-200000-100000-100000-50000-50000+18750-30000-600000-44600-110000-179000-40000-20000-15000-20000-45000-30000-10000</f>
        <v>11261972.970000001</v>
      </c>
      <c r="R76" s="138">
        <f>R75-30448-4590-70000-50000-50000-40000-5000-100000-95000-40000-40000-100000-5200-5200-15000-10000-10000-10000-30000-12054-5200</f>
        <v>27755922</v>
      </c>
      <c r="S76" s="138">
        <f>S75-370862</f>
        <v>18512904.77</v>
      </c>
      <c r="T76" s="138">
        <f>T75-2675007-289300-100000+256200-45000-1600000-18720-42157+30000-116175-57308-8000</f>
        <v>54279781</v>
      </c>
      <c r="U76" s="138">
        <f>U75-1858185.05</f>
        <v>39709276.660000004</v>
      </c>
      <c r="V76" s="138">
        <f>V75-4077309+1857370-2003610</f>
        <v>95795407</v>
      </c>
      <c r="W76" s="121">
        <f>W75-4060212-1405353</f>
        <v>32881509</v>
      </c>
      <c r="X76" s="121">
        <f>X75-393965</f>
        <v>2234413</v>
      </c>
      <c r="Y76" s="47">
        <v>0</v>
      </c>
      <c r="Z76" s="47">
        <v>0</v>
      </c>
      <c r="AA76" s="47">
        <v>0</v>
      </c>
      <c r="AB76" s="174"/>
      <c r="AC76" s="141"/>
      <c r="AD76" s="42"/>
    </row>
    <row r="77" spans="1:33" ht="15.75" customHeight="1">
      <c r="A77" s="10" t="s">
        <v>52</v>
      </c>
      <c r="B77" s="277" t="s">
        <v>184</v>
      </c>
      <c r="C77" s="277"/>
      <c r="D77" s="277"/>
      <c r="E77" s="277"/>
      <c r="F77" s="19"/>
      <c r="G77" s="19"/>
      <c r="H77" s="19"/>
      <c r="I77" s="19"/>
      <c r="J77" s="44">
        <f>J33-J76-1944292</f>
        <v>5372091</v>
      </c>
      <c r="K77" s="47">
        <f>171629+5903020-1790322</f>
        <v>4284327</v>
      </c>
      <c r="L77" s="44">
        <f>L33-L76-3783631</f>
        <v>8527521</v>
      </c>
      <c r="M77" s="44">
        <f>M33-M76-3062374</f>
        <v>7430061</v>
      </c>
      <c r="N77" s="44">
        <f>N33-N76-1545115-15000-65000-6000+54207-85600-60973-71000-872950-58000</f>
        <v>7527102</v>
      </c>
      <c r="O77" s="131">
        <f>O33-O76-2900104.56</f>
        <v>14765066.349999996</v>
      </c>
      <c r="P77" s="138">
        <f>P33-P76-55000-1000000-200000-265000-500000-300000-4500-7000-70600-7000+25000-6760-179000-63000-100000-36654-150000-162806-15000+3445-88564-66816-50000-8000-50320-84318-25000-1280000-20000-40594</f>
        <v>9968876</v>
      </c>
      <c r="Q77" s="173">
        <f>Q33-Q76-55000-1000000-200000-265000-500000-300000-4500-7000-70600-7000+25000-6760-179000-63000-100000-36654-150000-162806-15000+3445-88564-66816-50000-8000-50320-84318-25000-1280000-20000-40594</f>
        <v>9655471.839999998</v>
      </c>
      <c r="R77" s="138">
        <f>R33-R76-300000-200000-40000-4600-50000-50000-10000-19925.8-186000-60000-6800-5373+4568+10302-(30416)-600000-36609-4590-200000-72851-34772-212065-6794-4266+17020-9000-10000-15000</f>
        <v>9154553.1999999993</v>
      </c>
      <c r="S77" s="138">
        <f>S33-S76-2400861.66</f>
        <v>7252866.2899999991</v>
      </c>
      <c r="T77" s="138">
        <f>T33-T76-4485582</f>
        <v>11247182</v>
      </c>
      <c r="U77" s="138">
        <f>U33-U76-U78</f>
        <v>8202338.5399999963</v>
      </c>
      <c r="V77" s="138">
        <f>V33-V76-V78</f>
        <v>9530932.599999994</v>
      </c>
      <c r="W77" s="121">
        <f>W33-W76-W78</f>
        <v>6549501</v>
      </c>
      <c r="X77" s="121">
        <f t="shared" ref="X77:AA77" si="38">X33-X76-X78</f>
        <v>4811436</v>
      </c>
      <c r="Y77" s="121">
        <f t="shared" si="38"/>
        <v>5297637</v>
      </c>
      <c r="Z77" s="121">
        <f t="shared" si="38"/>
        <v>2352162</v>
      </c>
      <c r="AA77" s="121">
        <f t="shared" si="38"/>
        <v>2598162</v>
      </c>
      <c r="AB77" s="137"/>
      <c r="AC77" s="137"/>
      <c r="AD77" s="137"/>
      <c r="AE77" s="137"/>
      <c r="AF77" s="137"/>
      <c r="AG77" s="137"/>
    </row>
    <row r="78" spans="1:33" ht="15.75" customHeight="1">
      <c r="A78" s="10" t="s">
        <v>53</v>
      </c>
      <c r="B78" s="282" t="s">
        <v>54</v>
      </c>
      <c r="C78" s="282"/>
      <c r="D78" s="282"/>
      <c r="E78" s="282"/>
      <c r="F78" s="21"/>
      <c r="G78" s="21"/>
      <c r="H78" s="21"/>
      <c r="I78" s="21"/>
      <c r="J78" s="44">
        <v>2397005</v>
      </c>
      <c r="K78" s="44">
        <v>2081085</v>
      </c>
      <c r="L78" s="44">
        <f>555328-162440+62000+45000+850000+150000+36000+80000+110902+220000+100000+5000+30000</f>
        <v>2081790</v>
      </c>
      <c r="M78" s="44">
        <v>2010028</v>
      </c>
      <c r="N78" s="122">
        <f>470487+260000+660000+56282+41010+324390+36000+35000+9259661+136000</f>
        <v>11278830</v>
      </c>
      <c r="O78" s="135">
        <v>11383971.43</v>
      </c>
      <c r="P78" s="129">
        <f>1050000+15000+36000+1800000+451250-36000+32500-400000+150000+531377+54000</f>
        <v>3684127</v>
      </c>
      <c r="Q78" s="129">
        <v>3370627.45</v>
      </c>
      <c r="R78" s="138">
        <f>499506+60000+142000+304000+500000+25000+325000+11770+500000+24000-160+49200+50000+52000+95163+69850+4837+50000+30000</f>
        <v>2792166</v>
      </c>
      <c r="S78" s="138">
        <v>2328496.65</v>
      </c>
      <c r="T78" s="138">
        <f>1161600+35000+500000+110364+39636+70200</f>
        <v>1916800</v>
      </c>
      <c r="U78" s="138">
        <v>1858185.05</v>
      </c>
      <c r="V78" s="138">
        <f>1503340+4077309+490000-1857370+2003610+2500000</f>
        <v>8716889</v>
      </c>
      <c r="W78" s="121">
        <f>0+1405353</f>
        <v>1405353</v>
      </c>
      <c r="X78" s="47">
        <f>0+393965</f>
        <v>393965</v>
      </c>
      <c r="Y78" s="47">
        <v>0</v>
      </c>
      <c r="Z78" s="47">
        <v>0</v>
      </c>
      <c r="AA78" s="47">
        <v>0</v>
      </c>
      <c r="AB78" s="137"/>
      <c r="AC78" s="137"/>
      <c r="AD78" s="137"/>
      <c r="AE78" s="137"/>
      <c r="AF78" s="137"/>
      <c r="AG78" s="137"/>
    </row>
    <row r="79" spans="1:33" ht="30" customHeight="1">
      <c r="A79" s="70" t="s">
        <v>55</v>
      </c>
      <c r="B79" s="278" t="s">
        <v>114</v>
      </c>
      <c r="C79" s="278"/>
      <c r="D79" s="278"/>
      <c r="E79" s="278"/>
      <c r="F79" s="72"/>
      <c r="G79" s="72"/>
      <c r="H79" s="72"/>
      <c r="I79" s="72"/>
      <c r="J79" s="74"/>
      <c r="K79" s="74"/>
      <c r="L79" s="75"/>
      <c r="M79" s="75"/>
      <c r="N79" s="76"/>
      <c r="O79" s="76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42"/>
      <c r="AC79" s="42"/>
      <c r="AD79" s="42"/>
      <c r="AE79" s="42"/>
      <c r="AF79" s="42"/>
      <c r="AG79" s="42"/>
    </row>
    <row r="80" spans="1:33" ht="31.5" customHeight="1">
      <c r="A80" s="10" t="s">
        <v>56</v>
      </c>
      <c r="B80" s="277" t="s">
        <v>57</v>
      </c>
      <c r="C80" s="277"/>
      <c r="D80" s="277"/>
      <c r="E80" s="277"/>
      <c r="F80" s="41">
        <f>0</f>
        <v>0</v>
      </c>
      <c r="G80" s="41">
        <f>0</f>
        <v>0</v>
      </c>
      <c r="H80" s="41">
        <f>0</f>
        <v>0</v>
      </c>
      <c r="I80" s="41">
        <f>0</f>
        <v>0</v>
      </c>
      <c r="J80" s="47">
        <f>4690745</f>
        <v>4690745</v>
      </c>
      <c r="K80" s="47">
        <v>3135776</v>
      </c>
      <c r="L80" s="43">
        <v>3818158</v>
      </c>
      <c r="M80" s="119">
        <v>3887905</v>
      </c>
      <c r="N80" s="122">
        <f>610696+32511+765-17136+7007+42538+2145+11167+1652+9369+582189+25500+20567+113826+156138-13217+850+150-4267+191291</f>
        <v>1773741</v>
      </c>
      <c r="O80" s="129">
        <v>2299749.27</v>
      </c>
      <c r="P80" s="162">
        <f>964518+77444+338370+24891+11653+59728+25882+466198+172406+304097</f>
        <v>2445187</v>
      </c>
      <c r="Q80" s="129">
        <v>2733327.17</v>
      </c>
      <c r="R80" s="121">
        <f>958031-7233+11622+268960+174013+1855+212033+108363+517414</f>
        <v>2245058</v>
      </c>
      <c r="S80" s="138">
        <v>2212376.7999999998</v>
      </c>
      <c r="T80" s="138">
        <v>7774980</v>
      </c>
      <c r="U80" s="138">
        <v>6440415.3099999996</v>
      </c>
      <c r="V80" s="120">
        <v>5563875</v>
      </c>
      <c r="W80" s="190">
        <v>2606198</v>
      </c>
      <c r="X80" s="114">
        <v>513651</v>
      </c>
      <c r="Y80" s="114">
        <v>0</v>
      </c>
      <c r="Z80" s="114">
        <v>0</v>
      </c>
      <c r="AA80" s="114">
        <v>0</v>
      </c>
      <c r="AB80" s="137"/>
    </row>
    <row r="81" spans="1:28" ht="19.5" customHeight="1">
      <c r="A81" s="10" t="s">
        <v>58</v>
      </c>
      <c r="B81" s="275"/>
      <c r="C81" s="275"/>
      <c r="D81" s="277" t="s">
        <v>59</v>
      </c>
      <c r="E81" s="277"/>
      <c r="F81" s="41">
        <f>2251119</f>
        <v>2251119</v>
      </c>
      <c r="G81" s="41">
        <f>1997209</f>
        <v>1997209</v>
      </c>
      <c r="H81" s="41">
        <f>4534303</f>
        <v>4534303</v>
      </c>
      <c r="I81" s="41">
        <f>2918337.2</f>
        <v>2918337.2</v>
      </c>
      <c r="J81" s="43">
        <f>4382994</f>
        <v>4382994</v>
      </c>
      <c r="K81" s="47">
        <v>2877416</v>
      </c>
      <c r="L81" s="43">
        <v>3543396</v>
      </c>
      <c r="M81" s="47">
        <v>3678255</v>
      </c>
      <c r="N81" s="122">
        <f>589117+32511-17136+42538+2145+11167+9369+539947+25500+20567+113826+156138-13217+850-4267+191291</f>
        <v>1700346</v>
      </c>
      <c r="O81" s="129">
        <v>2228786.19</v>
      </c>
      <c r="P81" s="162">
        <f>950103+77444+338370+24891+16453-4295+59728+25882+466198+172406+304097</f>
        <v>2431277</v>
      </c>
      <c r="Q81" s="129">
        <v>2726892.09</v>
      </c>
      <c r="R81" s="121">
        <f>935677-7233+10976+245824+132934+23252+1855+212033+108363+517414</f>
        <v>2181095</v>
      </c>
      <c r="S81" s="138">
        <v>2180773.85</v>
      </c>
      <c r="T81" s="138">
        <v>7434995</v>
      </c>
      <c r="U81" s="138">
        <v>6171818.9800000004</v>
      </c>
      <c r="V81" s="120">
        <v>5433178</v>
      </c>
      <c r="W81" s="190">
        <v>2548418</v>
      </c>
      <c r="X81" s="114">
        <f>490920-4396</f>
        <v>486524</v>
      </c>
      <c r="Y81" s="114">
        <v>0</v>
      </c>
      <c r="Z81" s="114">
        <v>0</v>
      </c>
      <c r="AA81" s="114">
        <v>0</v>
      </c>
    </row>
    <row r="82" spans="1:28" ht="36">
      <c r="A82" s="10" t="s">
        <v>60</v>
      </c>
      <c r="B82" s="283"/>
      <c r="C82" s="265"/>
      <c r="D82" s="32"/>
      <c r="E82" s="17" t="s">
        <v>61</v>
      </c>
      <c r="F82" s="41">
        <f>0</f>
        <v>0</v>
      </c>
      <c r="G82" s="41">
        <f>0</f>
        <v>0</v>
      </c>
      <c r="H82" s="41">
        <f>0</f>
        <v>0</v>
      </c>
      <c r="I82" s="41">
        <f>0</f>
        <v>0</v>
      </c>
      <c r="J82" s="57">
        <f>J81</f>
        <v>4382994</v>
      </c>
      <c r="K82" s="47">
        <v>2877416</v>
      </c>
      <c r="L82" s="59">
        <v>3543396</v>
      </c>
      <c r="M82" s="47">
        <v>3678255</v>
      </c>
      <c r="N82" s="47">
        <f>589117+32511-17136+42538+2145+11167+9369+539947+25500-13217+850-4267+191291</f>
        <v>1409815</v>
      </c>
      <c r="O82" s="129">
        <v>2228786.19</v>
      </c>
      <c r="P82" s="162">
        <f>950103+77444+338370+24891+16453-4295+59728+25882+466198+172406+304097</f>
        <v>2431277</v>
      </c>
      <c r="Q82" s="129">
        <v>2726892.09</v>
      </c>
      <c r="R82" s="121">
        <f>935677-83200-10640-7233+83200+1855+108363+2701</f>
        <v>1030723</v>
      </c>
      <c r="S82" s="138">
        <v>2180773.85</v>
      </c>
      <c r="T82" s="138">
        <v>3906721</v>
      </c>
      <c r="U82" s="138">
        <v>6171818.9800000004</v>
      </c>
      <c r="V82" s="121">
        <v>5433178</v>
      </c>
      <c r="W82" s="121">
        <v>2548418</v>
      </c>
      <c r="X82" s="47">
        <f>490920-4396</f>
        <v>486524</v>
      </c>
      <c r="Y82" s="47">
        <v>0</v>
      </c>
      <c r="Z82" s="114">
        <v>0</v>
      </c>
      <c r="AA82" s="114">
        <v>0</v>
      </c>
    </row>
    <row r="83" spans="1:28" ht="31.5" customHeight="1">
      <c r="A83" s="10" t="s">
        <v>62</v>
      </c>
      <c r="B83" s="277" t="s">
        <v>63</v>
      </c>
      <c r="C83" s="277"/>
      <c r="D83" s="277"/>
      <c r="E83" s="277"/>
      <c r="F83" s="41">
        <f>0</f>
        <v>0</v>
      </c>
      <c r="G83" s="41">
        <f>0</f>
        <v>0</v>
      </c>
      <c r="H83" s="41">
        <f>0</f>
        <v>0</v>
      </c>
      <c r="I83" s="41">
        <f>0</f>
        <v>0</v>
      </c>
      <c r="J83" s="43">
        <f>90994593-10061915</f>
        <v>80932678</v>
      </c>
      <c r="K83" s="47">
        <v>49106007</v>
      </c>
      <c r="L83" s="43">
        <f>41287000+11099192-15528173+563952-1302619+306000+357159+274297+1793060</f>
        <v>38849868</v>
      </c>
      <c r="M83" s="119">
        <v>39002272</v>
      </c>
      <c r="N83" s="122">
        <f>16462508+651944-604423+882400+9259661</f>
        <v>26652090</v>
      </c>
      <c r="O83" s="129">
        <v>30937500.859999999</v>
      </c>
      <c r="P83" s="162">
        <f>1370110+1411836+899212+2742677+140032+273678+1211804</f>
        <v>8049349</v>
      </c>
      <c r="Q83" s="138">
        <v>19086347.920000002</v>
      </c>
      <c r="R83" s="47">
        <f>1622590+7233+2000000+4590-186538+123733</f>
        <v>3571608</v>
      </c>
      <c r="S83" s="129">
        <v>468198.78</v>
      </c>
      <c r="T83" s="138">
        <v>9186919</v>
      </c>
      <c r="U83" s="138">
        <v>4268137.16</v>
      </c>
      <c r="V83" s="121">
        <f>23341640+13355</f>
        <v>23354995</v>
      </c>
      <c r="W83" s="121">
        <v>16409154</v>
      </c>
      <c r="X83" s="47">
        <v>4879449</v>
      </c>
      <c r="Y83" s="47">
        <v>0</v>
      </c>
      <c r="Z83" s="114">
        <v>0</v>
      </c>
      <c r="AA83" s="114">
        <v>0</v>
      </c>
    </row>
    <row r="84" spans="1:28" ht="21" customHeight="1">
      <c r="A84" s="10" t="s">
        <v>64</v>
      </c>
      <c r="B84" s="275"/>
      <c r="C84" s="275"/>
      <c r="D84" s="277" t="s">
        <v>59</v>
      </c>
      <c r="E84" s="277"/>
      <c r="F84" s="41">
        <f>14193778</f>
        <v>14193778</v>
      </c>
      <c r="G84" s="41">
        <f>21651929</f>
        <v>21651929</v>
      </c>
      <c r="H84" s="41">
        <f>63987540</f>
        <v>63987540</v>
      </c>
      <c r="I84" s="41">
        <f>39343648.77</f>
        <v>39343648.770000003</v>
      </c>
      <c r="J84" s="43">
        <f>75854593-10061915</f>
        <v>65792678</v>
      </c>
      <c r="K84" s="47">
        <v>40788484</v>
      </c>
      <c r="L84" s="43">
        <f>32349787+274297+1793060</f>
        <v>34417144</v>
      </c>
      <c r="M84" s="47">
        <v>28771113</v>
      </c>
      <c r="N84" s="47">
        <f>15062508+637168+7386+7390-14776-604423+882400+9259661</f>
        <v>25237314</v>
      </c>
      <c r="O84" s="129">
        <v>30922724.649999999</v>
      </c>
      <c r="P84" s="162">
        <f>1370110+1411836+899212+2742677+140032+273678+1211804</f>
        <v>8049349</v>
      </c>
      <c r="Q84" s="138">
        <v>19086347.920000002</v>
      </c>
      <c r="R84" s="47">
        <f>1622590+7233+2000000+4195-186538+123733</f>
        <v>3571213</v>
      </c>
      <c r="S84" s="129">
        <v>467813.15</v>
      </c>
      <c r="T84" s="138">
        <v>9108544</v>
      </c>
      <c r="U84" s="138">
        <v>4262771.21</v>
      </c>
      <c r="V84" s="121">
        <f>22336538+12613</f>
        <v>22349151</v>
      </c>
      <c r="W84" s="121">
        <v>16125491</v>
      </c>
      <c r="X84" s="47">
        <v>4879449</v>
      </c>
      <c r="Y84" s="47">
        <v>0</v>
      </c>
      <c r="Z84" s="114">
        <v>0</v>
      </c>
      <c r="AA84" s="114">
        <v>0</v>
      </c>
      <c r="AB84" s="137"/>
    </row>
    <row r="85" spans="1:28" ht="36">
      <c r="A85" s="10" t="s">
        <v>65</v>
      </c>
      <c r="B85" s="283"/>
      <c r="C85" s="265"/>
      <c r="D85" s="32"/>
      <c r="E85" s="17" t="s">
        <v>66</v>
      </c>
      <c r="F85" s="41">
        <f>0</f>
        <v>0</v>
      </c>
      <c r="G85" s="41">
        <f>0</f>
        <v>0</v>
      </c>
      <c r="H85" s="41">
        <f>0</f>
        <v>0</v>
      </c>
      <c r="I85" s="41">
        <f>0</f>
        <v>0</v>
      </c>
      <c r="J85" s="47">
        <f>J84</f>
        <v>65792678</v>
      </c>
      <c r="K85" s="47">
        <v>40788484</v>
      </c>
      <c r="L85" s="47">
        <f>32043787+274297+1793060</f>
        <v>34111144</v>
      </c>
      <c r="M85" s="47">
        <v>28771113</v>
      </c>
      <c r="N85" s="47">
        <f>15062508+637168+7386+7390-14776-604423+882400+9259661</f>
        <v>25237314</v>
      </c>
      <c r="O85" s="129">
        <v>30922724.649999999</v>
      </c>
      <c r="P85" s="162">
        <f>P84</f>
        <v>8049349</v>
      </c>
      <c r="Q85" s="138">
        <v>19086347.920000002</v>
      </c>
      <c r="R85" s="47">
        <f>1113892+7233+262790+245908-186538</f>
        <v>1443285</v>
      </c>
      <c r="S85" s="129">
        <v>467813.15</v>
      </c>
      <c r="T85" s="138">
        <v>9108544</v>
      </c>
      <c r="U85" s="138">
        <v>4262771.21</v>
      </c>
      <c r="V85" s="121">
        <f>22336538+12613</f>
        <v>22349151</v>
      </c>
      <c r="W85" s="121">
        <v>16125491</v>
      </c>
      <c r="X85" s="47">
        <v>4879449</v>
      </c>
      <c r="Y85" s="47">
        <f>Y84-0</f>
        <v>0</v>
      </c>
      <c r="Z85" s="114">
        <f>Z84-0</f>
        <v>0</v>
      </c>
      <c r="AA85" s="114">
        <f>AA84-0</f>
        <v>0</v>
      </c>
    </row>
    <row r="86" spans="1:28" ht="31.5" customHeight="1">
      <c r="A86" s="10" t="s">
        <v>67</v>
      </c>
      <c r="B86" s="277" t="s">
        <v>68</v>
      </c>
      <c r="C86" s="277"/>
      <c r="D86" s="277"/>
      <c r="E86" s="277"/>
      <c r="F86" s="41">
        <f>0</f>
        <v>0</v>
      </c>
      <c r="G86" s="41">
        <f>0</f>
        <v>0</v>
      </c>
      <c r="H86" s="41">
        <f>0</f>
        <v>0</v>
      </c>
      <c r="I86" s="41">
        <f>0</f>
        <v>0</v>
      </c>
      <c r="J86" s="47">
        <f>5074633+261355</f>
        <v>5335988</v>
      </c>
      <c r="K86" s="102"/>
      <c r="L86" s="47">
        <v>4704116</v>
      </c>
      <c r="M86" s="47">
        <v>3808863</v>
      </c>
      <c r="N86" s="47">
        <f>1781257+18900-27293+30595+1894+1803+33993+1021+1065+44393+2706+6369+11463+1652+9369-22234+11100+459+321+113826+20567+156138+226+12-13217-2332</f>
        <v>2184053</v>
      </c>
      <c r="O86" s="129">
        <v>1864615.51</v>
      </c>
      <c r="P86" s="129">
        <f>1923553+106952+263721+243090+6+6180+96807+11653+33326+448+466198+25882-448+8230+134197+36</f>
        <v>3319831</v>
      </c>
      <c r="Q86" s="129">
        <v>3168513.5</v>
      </c>
      <c r="R86" s="121">
        <f>2417767+7553+4332+12948+73372-12480+130085+2069+11622+18500+1291+245824+30836+35319+6237+132934+15657+23252+2188+13670+1855+68544+2640+53056+5000+41920</f>
        <v>3345991</v>
      </c>
      <c r="S86" s="138">
        <v>3011650.11</v>
      </c>
      <c r="T86" s="138">
        <v>7366791</v>
      </c>
      <c r="U86" s="138">
        <f>4769024.35+1127.68</f>
        <v>4770152.0299999993</v>
      </c>
      <c r="V86" s="121">
        <v>9294009</v>
      </c>
      <c r="W86" s="121">
        <f>2976655+284890</f>
        <v>3261545</v>
      </c>
      <c r="X86" s="47">
        <f>298842+10608</f>
        <v>309450</v>
      </c>
      <c r="Y86" s="47">
        <v>0</v>
      </c>
      <c r="Z86" s="47">
        <v>0</v>
      </c>
      <c r="AA86" s="47">
        <v>0</v>
      </c>
      <c r="AB86" s="42"/>
    </row>
    <row r="87" spans="1:28" ht="25.5" customHeight="1">
      <c r="A87" s="10" t="s">
        <v>69</v>
      </c>
      <c r="B87" s="33"/>
      <c r="C87" s="23"/>
      <c r="D87" s="277" t="s">
        <v>70</v>
      </c>
      <c r="E87" s="277"/>
      <c r="F87" s="41">
        <f>0</f>
        <v>0</v>
      </c>
      <c r="G87" s="41">
        <f>1504497</f>
        <v>1504497</v>
      </c>
      <c r="H87" s="41">
        <f>4349131</f>
        <v>4349131</v>
      </c>
      <c r="I87" s="41">
        <f>1945489.94</f>
        <v>1945489.94</v>
      </c>
      <c r="J87" s="50">
        <f>4403940+248657</f>
        <v>4652597</v>
      </c>
      <c r="K87" s="103"/>
      <c r="L87" s="50">
        <v>3847178</v>
      </c>
      <c r="M87" s="49">
        <v>3177005</v>
      </c>
      <c r="N87" s="120">
        <f>1494984+195038+44393+2706+6369+11463+9369-69607+1-33433+11100+14400+113826+20567+156138-13217-116</f>
        <v>1963981</v>
      </c>
      <c r="O87" s="138">
        <f>1462604.27+193753.94</f>
        <v>1656358.21</v>
      </c>
      <c r="P87" s="165">
        <f>1573220+106952+263721+243090+96805+16453-4295+33326+466198+25882+8230+134197</f>
        <v>2963779</v>
      </c>
      <c r="Q87" s="130">
        <v>2866650.56</v>
      </c>
      <c r="R87" s="121">
        <f>2274130+7553+73372-10000+130085-36936+2069+10976+35319+245824+132934+23252+13670+1855+68544+2640+43716+40880</f>
        <v>3059883</v>
      </c>
      <c r="S87" s="138">
        <v>2756958.65</v>
      </c>
      <c r="T87" s="138">
        <v>6507798</v>
      </c>
      <c r="U87" s="138">
        <v>4256875.4400000004</v>
      </c>
      <c r="V87" s="121">
        <f>8065701+6831</f>
        <v>8072532</v>
      </c>
      <c r="W87" s="121">
        <f>2767450+1708</f>
        <v>2769158</v>
      </c>
      <c r="X87" s="49">
        <f>240825+10608</f>
        <v>251433</v>
      </c>
      <c r="Y87" s="49">
        <v>0</v>
      </c>
      <c r="Z87" s="50">
        <v>0</v>
      </c>
      <c r="AA87" s="50">
        <v>0</v>
      </c>
    </row>
    <row r="88" spans="1:28" ht="42.75" customHeight="1">
      <c r="A88" s="10" t="s">
        <v>71</v>
      </c>
      <c r="B88" s="277" t="s">
        <v>72</v>
      </c>
      <c r="C88" s="277"/>
      <c r="D88" s="277"/>
      <c r="E88" s="277"/>
      <c r="F88" s="41">
        <f>0</f>
        <v>0</v>
      </c>
      <c r="G88" s="41">
        <f>0</f>
        <v>0</v>
      </c>
      <c r="H88" s="41">
        <f>0</f>
        <v>0</v>
      </c>
      <c r="I88" s="41">
        <f>0</f>
        <v>0</v>
      </c>
      <c r="J88" s="50">
        <f>J87-0</f>
        <v>4652597</v>
      </c>
      <c r="K88" s="103"/>
      <c r="L88" s="50">
        <v>4704116</v>
      </c>
      <c r="M88" s="49">
        <v>3177005</v>
      </c>
      <c r="N88" s="49">
        <f>1781257-206152+18900+33993-27293+30595+1894+1803+1021+1065+44393+2706+6369+11463+1652+9369-22234+206152+11100+459+321+12+113826+20567-13217-2332</f>
        <v>2027689</v>
      </c>
      <c r="O88" s="129">
        <v>1864615.51</v>
      </c>
      <c r="P88" s="129">
        <f>1923553+106952+263721+243090+6+6180+96807+11653+33326+448+466198+25882-448+8230+134197+36</f>
        <v>3319831</v>
      </c>
      <c r="Q88" s="129">
        <v>3168513.5</v>
      </c>
      <c r="R88" s="121">
        <v>3218555</v>
      </c>
      <c r="S88" s="138">
        <f>3011650.11-5204</f>
        <v>3006446.11</v>
      </c>
      <c r="T88" s="138">
        <v>4585706</v>
      </c>
      <c r="U88" s="138">
        <f>4769024.35+1127.68</f>
        <v>4770152.0299999993</v>
      </c>
      <c r="V88" s="121">
        <v>9294009</v>
      </c>
      <c r="W88" s="49">
        <f>2976655+284890</f>
        <v>3261545</v>
      </c>
      <c r="X88" s="49">
        <f>298842+10608</f>
        <v>309450</v>
      </c>
      <c r="Y88" s="49">
        <f>Y87-0</f>
        <v>0</v>
      </c>
      <c r="Z88" s="50">
        <f>Z87-0</f>
        <v>0</v>
      </c>
      <c r="AA88" s="50">
        <f>AA87-0</f>
        <v>0</v>
      </c>
    </row>
    <row r="89" spans="1:28" ht="31.5" customHeight="1">
      <c r="A89" s="10" t="s">
        <v>73</v>
      </c>
      <c r="B89" s="277" t="s">
        <v>74</v>
      </c>
      <c r="C89" s="277"/>
      <c r="D89" s="277"/>
      <c r="E89" s="277"/>
      <c r="F89" s="41">
        <f>0</f>
        <v>0</v>
      </c>
      <c r="G89" s="41">
        <f>0</f>
        <v>0</v>
      </c>
      <c r="H89" s="41">
        <f>0</f>
        <v>0</v>
      </c>
      <c r="I89" s="41">
        <f>0</f>
        <v>0</v>
      </c>
      <c r="J89" s="43">
        <f>124532250+2600000+750000-550000+1000000</f>
        <v>128332250</v>
      </c>
      <c r="K89" s="102"/>
      <c r="L89" s="43">
        <v>53673620</v>
      </c>
      <c r="M89" s="119">
        <f>47852573+503789</f>
        <v>48356362</v>
      </c>
      <c r="N89" s="122">
        <f>515487+231100+41010+7000+896800+1090000+321949+8937712+324390</f>
        <v>12365448</v>
      </c>
      <c r="O89" s="129">
        <v>16138972.550000001</v>
      </c>
      <c r="P89" s="162">
        <f>451250+6500+2180736+448+531377</f>
        <v>3170311</v>
      </c>
      <c r="Q89" s="129">
        <v>959138.04</v>
      </c>
      <c r="R89" s="121">
        <f>3848403+910659+30448+12480+7343600+1370000+36609+4195+395-118627-123246+118627-63292+228266-601509-1312327</f>
        <v>11684681</v>
      </c>
      <c r="S89" s="138">
        <v>4715802.8</v>
      </c>
      <c r="T89" s="138">
        <v>32660765</v>
      </c>
      <c r="U89" s="138">
        <v>17163828.550000001</v>
      </c>
      <c r="V89" s="121">
        <v>54724608</v>
      </c>
      <c r="W89" s="190">
        <f>12865174+7324430+1184170+5180000+4600000</f>
        <v>31153774</v>
      </c>
      <c r="X89" s="114">
        <f>2234413+393965</f>
        <v>2628378</v>
      </c>
      <c r="Y89" s="114">
        <v>0</v>
      </c>
      <c r="Z89" s="114">
        <v>0</v>
      </c>
      <c r="AA89" s="114">
        <v>0</v>
      </c>
      <c r="AB89" s="137"/>
    </row>
    <row r="90" spans="1:28" ht="28.5" customHeight="1">
      <c r="A90" s="10" t="s">
        <v>75</v>
      </c>
      <c r="B90" s="33"/>
      <c r="C90" s="23"/>
      <c r="D90" s="277" t="s">
        <v>70</v>
      </c>
      <c r="E90" s="277"/>
      <c r="F90" s="41">
        <f>0</f>
        <v>0</v>
      </c>
      <c r="G90" s="41">
        <f>9395194</f>
        <v>9395194</v>
      </c>
      <c r="H90" s="41">
        <f>84470900</f>
        <v>84470900</v>
      </c>
      <c r="I90" s="41">
        <f>27374417.82</f>
        <v>27374417.82</v>
      </c>
      <c r="J90" s="50">
        <v>72793305</v>
      </c>
      <c r="K90" s="103"/>
      <c r="L90" s="50">
        <v>26855613</v>
      </c>
      <c r="M90" s="49">
        <v>23604941</v>
      </c>
      <c r="N90" s="49">
        <f>38250+5950+896800+574138</f>
        <v>1515138</v>
      </c>
      <c r="O90" s="130">
        <v>1404987.36</v>
      </c>
      <c r="P90" s="130">
        <f>675546-675546+531377+680427</f>
        <v>1211804</v>
      </c>
      <c r="Q90" s="130">
        <v>502498.09</v>
      </c>
      <c r="R90" s="121">
        <f>1687394+610659+25880+10000+4743600+170000+4195+31117-123246-63292+114133-525659-162928</f>
        <v>6521853</v>
      </c>
      <c r="S90" s="138">
        <v>1700623.49</v>
      </c>
      <c r="T90" s="138">
        <v>16177606</v>
      </c>
      <c r="U90" s="138">
        <v>6283654.7400000002</v>
      </c>
      <c r="V90" s="120">
        <v>24844833</v>
      </c>
      <c r="W90" s="50">
        <f>8300280+1673157+1242848</f>
        <v>11216285</v>
      </c>
      <c r="X90" s="50">
        <f>1635002+393965</f>
        <v>2028967</v>
      </c>
      <c r="Y90" s="50">
        <v>0</v>
      </c>
      <c r="Z90" s="50">
        <v>0</v>
      </c>
      <c r="AA90" s="50">
        <v>0</v>
      </c>
      <c r="AB90" s="137"/>
    </row>
    <row r="91" spans="1:28" ht="39" customHeight="1">
      <c r="A91" s="10" t="s">
        <v>76</v>
      </c>
      <c r="B91" s="277" t="s">
        <v>77</v>
      </c>
      <c r="C91" s="277"/>
      <c r="D91" s="277"/>
      <c r="E91" s="277"/>
      <c r="F91" s="41">
        <f>0</f>
        <v>0</v>
      </c>
      <c r="G91" s="41">
        <f>0</f>
        <v>0</v>
      </c>
      <c r="H91" s="41">
        <f>0</f>
        <v>0</v>
      </c>
      <c r="I91" s="41">
        <f>0</f>
        <v>0</v>
      </c>
      <c r="J91" s="47">
        <f>J90</f>
        <v>72793305</v>
      </c>
      <c r="K91" s="102"/>
      <c r="L91" s="47">
        <v>53223976</v>
      </c>
      <c r="M91" s="119">
        <f>47852573+503789</f>
        <v>48356362</v>
      </c>
      <c r="N91" s="47">
        <f>515487+231100+41010+7000+896800+1090000+321949+8937712+324390</f>
        <v>12365448</v>
      </c>
      <c r="O91" s="129">
        <v>16138972.550000001</v>
      </c>
      <c r="P91" s="162">
        <f>451250+6500+448+531377+2180736</f>
        <v>3170311</v>
      </c>
      <c r="Q91" s="129">
        <v>959138.04</v>
      </c>
      <c r="R91" s="121">
        <v>11398742</v>
      </c>
      <c r="S91" s="138">
        <v>4685611.05</v>
      </c>
      <c r="T91" s="138">
        <v>32395391</v>
      </c>
      <c r="U91" s="138">
        <v>17163828.550000001</v>
      </c>
      <c r="V91" s="121">
        <v>54724608</v>
      </c>
      <c r="W91" s="47">
        <f>12865174+7324430+1184170+5180000+4600000</f>
        <v>31153774</v>
      </c>
      <c r="X91" s="47">
        <f>2234413+393965</f>
        <v>2628378</v>
      </c>
      <c r="Y91" s="114">
        <f>Y90-0</f>
        <v>0</v>
      </c>
      <c r="Z91" s="114">
        <f>Z90-0</f>
        <v>0</v>
      </c>
      <c r="AA91" s="114">
        <f>AA90-0</f>
        <v>0</v>
      </c>
    </row>
    <row r="92" spans="1:28" s="90" customFormat="1" ht="45" customHeight="1">
      <c r="A92" s="91" t="s">
        <v>129</v>
      </c>
      <c r="B92" s="277" t="s">
        <v>130</v>
      </c>
      <c r="C92" s="277"/>
      <c r="D92" s="277"/>
      <c r="E92" s="277"/>
      <c r="F92" s="41">
        <f>0</f>
        <v>0</v>
      </c>
      <c r="G92" s="41">
        <f>0</f>
        <v>0</v>
      </c>
      <c r="H92" s="41">
        <f>0</f>
        <v>0</v>
      </c>
      <c r="I92" s="41">
        <f>0</f>
        <v>0</v>
      </c>
      <c r="J92" s="86">
        <f>124532250+2600000+750000-550000+1000000</f>
        <v>128332250</v>
      </c>
      <c r="K92" s="102"/>
      <c r="L92" s="47">
        <v>27674945</v>
      </c>
      <c r="M92" s="47">
        <v>25383279</v>
      </c>
      <c r="N92" s="121">
        <f>568472+18900+231100+33993-27293+30595+1894+1803+41010+1021+1050+1065+1652+69607-1+11771-572-14400+459+414543+101319+321+321949+8937712+324390+12+226-2332-20+136</f>
        <v>11070382</v>
      </c>
      <c r="O92" s="138">
        <v>14733985.189999999</v>
      </c>
      <c r="P92" s="129">
        <f>1648822+20904+193547+451250+36</f>
        <v>2314559</v>
      </c>
      <c r="Q92" s="129">
        <f>282197.58+19665.36+456639.95</f>
        <v>758502.89</v>
      </c>
      <c r="R92" s="121">
        <f>2275500+29146+4332+300000+12948+4568+1343600+1256400+36936+646+18500+1200000+1291+30836+395+6237+5492+15657+2188-118627+118627+114133+9340-75850+5000+1040-1149399</f>
        <v>5448936</v>
      </c>
      <c r="S92" s="138">
        <v>3269870.77</v>
      </c>
      <c r="T92" s="138">
        <v>17342152</v>
      </c>
      <c r="U92" s="138">
        <f>11393450.4</f>
        <v>11393450.4</v>
      </c>
      <c r="V92" s="121">
        <v>31108083</v>
      </c>
      <c r="W92" s="47">
        <v>20431584</v>
      </c>
      <c r="X92" s="47">
        <v>657428</v>
      </c>
      <c r="Y92" s="114">
        <f t="shared" ref="U92:AA99" si="39">Y91-0</f>
        <v>0</v>
      </c>
      <c r="Z92" s="114">
        <f t="shared" si="39"/>
        <v>0</v>
      </c>
      <c r="AA92" s="114">
        <f t="shared" si="39"/>
        <v>0</v>
      </c>
      <c r="AB92" s="42"/>
    </row>
    <row r="93" spans="1:28" s="90" customFormat="1" ht="28.5" customHeight="1">
      <c r="A93" s="91" t="s">
        <v>131</v>
      </c>
      <c r="B93" s="33"/>
      <c r="C93" s="23"/>
      <c r="D93" s="297" t="s">
        <v>132</v>
      </c>
      <c r="E93" s="277"/>
      <c r="F93" s="41">
        <f>0</f>
        <v>0</v>
      </c>
      <c r="G93" s="41">
        <f>9395194</f>
        <v>9395194</v>
      </c>
      <c r="H93" s="41">
        <f>84470900</f>
        <v>84470900</v>
      </c>
      <c r="I93" s="41">
        <f>27374417.82</f>
        <v>27374417.82</v>
      </c>
      <c r="J93" s="50">
        <v>72793305</v>
      </c>
      <c r="K93" s="103"/>
      <c r="L93" s="47">
        <v>27674945</v>
      </c>
      <c r="M93" s="47">
        <v>25383279</v>
      </c>
      <c r="N93" s="121">
        <f>568472+18900+231100+33993-27293+30595+1894+1803+41010+1021+1050+1065+1652+69607-1+11771-572-14400+459+414543+101319+321+321949+8937712+324390+12-2332-20+136</f>
        <v>11070156</v>
      </c>
      <c r="O93" s="138">
        <v>14733985.189999999</v>
      </c>
      <c r="P93" s="129">
        <f>1648822+20904+193547+451250+36</f>
        <v>2314559</v>
      </c>
      <c r="Q93" s="129">
        <f>282197.58+19665.36+456639.95</f>
        <v>758502.89</v>
      </c>
      <c r="R93" s="121">
        <v>5263009</v>
      </c>
      <c r="S93" s="138">
        <f>3008767.16</f>
        <v>3008767.16</v>
      </c>
      <c r="T93" s="138">
        <v>16801447</v>
      </c>
      <c r="U93" s="138">
        <v>11393450.4</v>
      </c>
      <c r="V93" s="121">
        <v>31108083</v>
      </c>
      <c r="W93" s="47">
        <v>20431584</v>
      </c>
      <c r="X93" s="47">
        <v>657428</v>
      </c>
      <c r="Y93" s="114">
        <f t="shared" si="39"/>
        <v>0</v>
      </c>
      <c r="Z93" s="114">
        <f t="shared" si="39"/>
        <v>0</v>
      </c>
      <c r="AA93" s="114">
        <f t="shared" si="39"/>
        <v>0</v>
      </c>
    </row>
    <row r="94" spans="1:28" s="90" customFormat="1" ht="45" customHeight="1">
      <c r="A94" s="91" t="s">
        <v>133</v>
      </c>
      <c r="B94" s="277" t="s">
        <v>185</v>
      </c>
      <c r="C94" s="277"/>
      <c r="D94" s="277"/>
      <c r="E94" s="277"/>
      <c r="F94" s="41">
        <f>0</f>
        <v>0</v>
      </c>
      <c r="G94" s="41">
        <f>0</f>
        <v>0</v>
      </c>
      <c r="H94" s="41">
        <f>0</f>
        <v>0</v>
      </c>
      <c r="I94" s="41">
        <f>0</f>
        <v>0</v>
      </c>
      <c r="J94" s="86">
        <f>124532250+2600000+750000-550000+1000000</f>
        <v>128332250</v>
      </c>
      <c r="K94" s="102"/>
      <c r="L94" s="47">
        <v>2419537</v>
      </c>
      <c r="M94" s="47">
        <f>2+18892.85+2477.23+23392.36+25982.56+13+10+68253.72+1449+2898+912.5+1799.56+1376708.9+106573.6+392888+651941.98</f>
        <v>2674195.2599999998</v>
      </c>
      <c r="N94" s="121">
        <f>509936+231100+18900+30595+27293-27293+1021+1050+69607-1+11771-14400+459+414543+101319+321+12+6700-2332</f>
        <v>1380601</v>
      </c>
      <c r="O94" s="138">
        <v>1064214.32</v>
      </c>
      <c r="P94" s="129">
        <f>166446+36</f>
        <v>166482</v>
      </c>
      <c r="Q94" s="129">
        <f>282197.58+19665.36+456639.95</f>
        <v>758502.89</v>
      </c>
      <c r="R94" s="121">
        <v>3443436</v>
      </c>
      <c r="S94" s="138">
        <f>3269870.77-734310.95</f>
        <v>2535559.8200000003</v>
      </c>
      <c r="T94" s="138">
        <v>13238905</v>
      </c>
      <c r="U94" s="138">
        <f>11393450.4-3414891.64</f>
        <v>7978558.7599999998</v>
      </c>
      <c r="V94" s="121">
        <v>31108083</v>
      </c>
      <c r="W94" s="47">
        <v>20431584</v>
      </c>
      <c r="X94" s="47">
        <v>657428</v>
      </c>
      <c r="Y94" s="114">
        <f t="shared" si="39"/>
        <v>0</v>
      </c>
      <c r="Z94" s="114">
        <f t="shared" si="39"/>
        <v>0</v>
      </c>
      <c r="AA94" s="114">
        <f t="shared" si="39"/>
        <v>0</v>
      </c>
    </row>
    <row r="95" spans="1:28" s="90" customFormat="1" ht="28.5" customHeight="1">
      <c r="A95" s="91" t="s">
        <v>134</v>
      </c>
      <c r="B95" s="33"/>
      <c r="C95" s="23"/>
      <c r="D95" s="297" t="s">
        <v>132</v>
      </c>
      <c r="E95" s="277"/>
      <c r="F95" s="41">
        <f>0</f>
        <v>0</v>
      </c>
      <c r="G95" s="41">
        <f>9395194</f>
        <v>9395194</v>
      </c>
      <c r="H95" s="41">
        <f>84470900</f>
        <v>84470900</v>
      </c>
      <c r="I95" s="41">
        <f>27374417.82</f>
        <v>27374417.82</v>
      </c>
      <c r="J95" s="50">
        <v>72793305</v>
      </c>
      <c r="K95" s="103"/>
      <c r="L95" s="49">
        <v>2419537</v>
      </c>
      <c r="M95" s="47">
        <f>2+18892.85+2477.23+23392.36+25982.56+13+10+68253.72+1449+2898+912.5+1799.56+1376708.9+106573.6+392888+651941.98</f>
        <v>2674195.2599999998</v>
      </c>
      <c r="N95" s="121">
        <f>509936+231100+18900+30595+27293-27293+1021+1050+69607-1+11771-14400+459+414543+101319+321+12+6700-2332</f>
        <v>1380601</v>
      </c>
      <c r="O95" s="138">
        <v>1064214.32</v>
      </c>
      <c r="P95" s="129">
        <f>166446+36</f>
        <v>166482</v>
      </c>
      <c r="Q95" s="129">
        <f>282197.58+19665.36+456639.95</f>
        <v>758502.89</v>
      </c>
      <c r="R95" s="121">
        <v>3443436</v>
      </c>
      <c r="S95" s="138">
        <f>3269870.77-734310.95</f>
        <v>2535559.8200000003</v>
      </c>
      <c r="T95" s="138">
        <v>13238905</v>
      </c>
      <c r="U95" s="138">
        <f>U94</f>
        <v>7978558.7599999998</v>
      </c>
      <c r="V95" s="121">
        <v>31108083</v>
      </c>
      <c r="W95" s="47">
        <v>20431584</v>
      </c>
      <c r="X95" s="47">
        <f t="shared" si="39"/>
        <v>657428</v>
      </c>
      <c r="Y95" s="114">
        <f t="shared" si="39"/>
        <v>0</v>
      </c>
      <c r="Z95" s="114">
        <f t="shared" si="39"/>
        <v>0</v>
      </c>
      <c r="AA95" s="114">
        <f t="shared" si="39"/>
        <v>0</v>
      </c>
    </row>
    <row r="96" spans="1:28" s="90" customFormat="1" ht="48.75" customHeight="1">
      <c r="A96" s="91" t="s">
        <v>135</v>
      </c>
      <c r="B96" s="277" t="s">
        <v>136</v>
      </c>
      <c r="C96" s="277"/>
      <c r="D96" s="277"/>
      <c r="E96" s="277"/>
      <c r="F96" s="41">
        <f>0</f>
        <v>0</v>
      </c>
      <c r="G96" s="41">
        <f>0</f>
        <v>0</v>
      </c>
      <c r="H96" s="41">
        <f>0</f>
        <v>0</v>
      </c>
      <c r="I96" s="41">
        <f>0</f>
        <v>0</v>
      </c>
      <c r="J96" s="86">
        <f>124532250+2600000+750000-550000+1000000</f>
        <v>128332250</v>
      </c>
      <c r="K96" s="86">
        <v>0</v>
      </c>
      <c r="L96" s="86">
        <v>0</v>
      </c>
      <c r="M96" s="119">
        <v>0</v>
      </c>
      <c r="N96" s="120">
        <v>0</v>
      </c>
      <c r="O96" s="120">
        <v>0</v>
      </c>
      <c r="P96" s="97">
        <v>0</v>
      </c>
      <c r="Q96" s="148">
        <v>0</v>
      </c>
      <c r="R96" s="185">
        <v>0</v>
      </c>
      <c r="S96" s="97">
        <v>0</v>
      </c>
      <c r="T96" s="129">
        <v>0</v>
      </c>
      <c r="U96" s="129">
        <v>0</v>
      </c>
      <c r="V96" s="47">
        <v>0</v>
      </c>
      <c r="W96" s="47">
        <v>0</v>
      </c>
      <c r="X96" s="114">
        <v>0</v>
      </c>
      <c r="Y96" s="114">
        <f t="shared" si="39"/>
        <v>0</v>
      </c>
      <c r="Z96" s="114">
        <f t="shared" si="39"/>
        <v>0</v>
      </c>
      <c r="AA96" s="114">
        <f t="shared" si="39"/>
        <v>0</v>
      </c>
    </row>
    <row r="97" spans="1:27" s="90" customFormat="1" ht="28.5" customHeight="1">
      <c r="A97" s="91" t="s">
        <v>137</v>
      </c>
      <c r="B97" s="33"/>
      <c r="C97" s="23"/>
      <c r="D97" s="297" t="s">
        <v>132</v>
      </c>
      <c r="E97" s="277"/>
      <c r="F97" s="41">
        <f>0</f>
        <v>0</v>
      </c>
      <c r="G97" s="41">
        <f>9395194</f>
        <v>9395194</v>
      </c>
      <c r="H97" s="41">
        <f>84470900</f>
        <v>84470900</v>
      </c>
      <c r="I97" s="41">
        <f>27374417.82</f>
        <v>27374417.82</v>
      </c>
      <c r="J97" s="50">
        <v>72793305</v>
      </c>
      <c r="K97" s="50">
        <v>0</v>
      </c>
      <c r="L97" s="97">
        <v>0</v>
      </c>
      <c r="M97" s="119">
        <v>0</v>
      </c>
      <c r="N97" s="122">
        <v>0</v>
      </c>
      <c r="O97" s="97">
        <v>0</v>
      </c>
      <c r="P97" s="97">
        <v>0</v>
      </c>
      <c r="Q97" s="148">
        <v>0</v>
      </c>
      <c r="R97" s="185">
        <f t="shared" ref="R97:T99" si="40">R96-0</f>
        <v>0</v>
      </c>
      <c r="S97" s="97">
        <f t="shared" si="40"/>
        <v>0</v>
      </c>
      <c r="T97" s="129">
        <f t="shared" si="40"/>
        <v>0</v>
      </c>
      <c r="U97" s="129">
        <f t="shared" si="39"/>
        <v>0</v>
      </c>
      <c r="V97" s="47">
        <f t="shared" si="39"/>
        <v>0</v>
      </c>
      <c r="W97" s="47">
        <f t="shared" si="39"/>
        <v>0</v>
      </c>
      <c r="X97" s="114">
        <v>0</v>
      </c>
      <c r="Y97" s="114">
        <f t="shared" si="39"/>
        <v>0</v>
      </c>
      <c r="Z97" s="114">
        <f t="shared" si="39"/>
        <v>0</v>
      </c>
      <c r="AA97" s="114">
        <f t="shared" si="39"/>
        <v>0</v>
      </c>
    </row>
    <row r="98" spans="1:27" s="90" customFormat="1" ht="49.5" customHeight="1">
      <c r="A98" s="91" t="s">
        <v>139</v>
      </c>
      <c r="B98" s="277" t="s">
        <v>138</v>
      </c>
      <c r="C98" s="277"/>
      <c r="D98" s="277"/>
      <c r="E98" s="277"/>
      <c r="F98" s="41">
        <f>0</f>
        <v>0</v>
      </c>
      <c r="G98" s="41">
        <f>0</f>
        <v>0</v>
      </c>
      <c r="H98" s="41">
        <f>0</f>
        <v>0</v>
      </c>
      <c r="I98" s="41">
        <f>0</f>
        <v>0</v>
      </c>
      <c r="J98" s="86">
        <f>124532250+2600000+750000-550000+1000000</f>
        <v>128332250</v>
      </c>
      <c r="K98" s="86">
        <v>0</v>
      </c>
      <c r="L98" s="97">
        <v>2116788</v>
      </c>
      <c r="M98" s="119">
        <v>0</v>
      </c>
      <c r="N98" s="122">
        <v>0</v>
      </c>
      <c r="O98" s="97">
        <v>0</v>
      </c>
      <c r="P98" s="97">
        <f>P97-0</f>
        <v>0</v>
      </c>
      <c r="Q98" s="148">
        <f>Q97-0</f>
        <v>0</v>
      </c>
      <c r="R98" s="185">
        <f t="shared" si="40"/>
        <v>0</v>
      </c>
      <c r="S98" s="97">
        <f t="shared" si="40"/>
        <v>0</v>
      </c>
      <c r="T98" s="129">
        <f t="shared" si="40"/>
        <v>0</v>
      </c>
      <c r="U98" s="129">
        <f t="shared" si="39"/>
        <v>0</v>
      </c>
      <c r="V98" s="47">
        <f t="shared" si="39"/>
        <v>0</v>
      </c>
      <c r="W98" s="47">
        <f t="shared" si="39"/>
        <v>0</v>
      </c>
      <c r="X98" s="114">
        <f t="shared" si="39"/>
        <v>0</v>
      </c>
      <c r="Y98" s="114">
        <f t="shared" si="39"/>
        <v>0</v>
      </c>
      <c r="Z98" s="114">
        <f t="shared" si="39"/>
        <v>0</v>
      </c>
      <c r="AA98" s="114">
        <f t="shared" si="39"/>
        <v>0</v>
      </c>
    </row>
    <row r="99" spans="1:27" s="90" customFormat="1" ht="28.5" customHeight="1">
      <c r="A99" s="91" t="s">
        <v>140</v>
      </c>
      <c r="B99" s="33"/>
      <c r="C99" s="23"/>
      <c r="D99" s="297" t="s">
        <v>132</v>
      </c>
      <c r="E99" s="277"/>
      <c r="F99" s="41">
        <f>0</f>
        <v>0</v>
      </c>
      <c r="G99" s="41">
        <f>9395194</f>
        <v>9395194</v>
      </c>
      <c r="H99" s="41">
        <f>84470900</f>
        <v>84470900</v>
      </c>
      <c r="I99" s="41">
        <f>27374417.82</f>
        <v>27374417.82</v>
      </c>
      <c r="J99" s="50">
        <v>72793305</v>
      </c>
      <c r="K99" s="50">
        <v>0</v>
      </c>
      <c r="L99" s="97">
        <f>L98</f>
        <v>2116788</v>
      </c>
      <c r="M99" s="119">
        <v>0</v>
      </c>
      <c r="N99" s="122">
        <v>0</v>
      </c>
      <c r="O99" s="97">
        <v>0</v>
      </c>
      <c r="P99" s="97">
        <f>P98-0</f>
        <v>0</v>
      </c>
      <c r="Q99" s="148">
        <f>Q98-0</f>
        <v>0</v>
      </c>
      <c r="R99" s="185">
        <f t="shared" si="40"/>
        <v>0</v>
      </c>
      <c r="S99" s="97">
        <f t="shared" si="40"/>
        <v>0</v>
      </c>
      <c r="T99" s="129">
        <f t="shared" si="40"/>
        <v>0</v>
      </c>
      <c r="U99" s="129">
        <f t="shared" si="39"/>
        <v>0</v>
      </c>
      <c r="V99" s="47">
        <f t="shared" si="39"/>
        <v>0</v>
      </c>
      <c r="W99" s="47">
        <f t="shared" si="39"/>
        <v>0</v>
      </c>
      <c r="X99" s="114">
        <f t="shared" si="39"/>
        <v>0</v>
      </c>
      <c r="Y99" s="114">
        <f t="shared" si="39"/>
        <v>0</v>
      </c>
      <c r="Z99" s="114">
        <f t="shared" si="39"/>
        <v>0</v>
      </c>
      <c r="AA99" s="114">
        <f t="shared" si="39"/>
        <v>0</v>
      </c>
    </row>
    <row r="100" spans="1:27" s="90" customFormat="1" ht="12" customHeight="1">
      <c r="A100" s="88"/>
      <c r="B100" s="84"/>
      <c r="C100" s="84"/>
      <c r="D100" s="84"/>
      <c r="E100" s="84"/>
      <c r="F100" s="41"/>
      <c r="G100" s="41"/>
      <c r="H100" s="41"/>
      <c r="I100" s="41"/>
      <c r="J100" s="92"/>
      <c r="K100" s="92"/>
      <c r="L100" s="93"/>
      <c r="M100" s="93"/>
      <c r="N100" s="93"/>
      <c r="O100" s="93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</row>
    <row r="101" spans="1:27" ht="29.25" customHeight="1">
      <c r="A101" s="299" t="s">
        <v>78</v>
      </c>
      <c r="B101" s="299"/>
      <c r="C101" s="299"/>
      <c r="D101" s="299"/>
      <c r="E101" s="299"/>
      <c r="F101" s="78"/>
      <c r="G101" s="78"/>
      <c r="H101" s="78"/>
      <c r="I101" s="78"/>
      <c r="J101" s="74"/>
      <c r="K101" s="74"/>
      <c r="L101" s="75"/>
      <c r="M101" s="75"/>
      <c r="N101" s="76"/>
      <c r="O101" s="76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7" ht="38.25" customHeight="1">
      <c r="A102" s="10" t="s">
        <v>79</v>
      </c>
      <c r="B102" s="277" t="s">
        <v>80</v>
      </c>
      <c r="C102" s="277"/>
      <c r="D102" s="277"/>
      <c r="E102" s="277"/>
      <c r="F102" s="19"/>
      <c r="G102" s="19"/>
      <c r="H102" s="19"/>
      <c r="I102" s="19"/>
      <c r="J102" s="43">
        <v>0</v>
      </c>
      <c r="K102" s="79">
        <v>0</v>
      </c>
      <c r="L102" s="43">
        <v>0</v>
      </c>
      <c r="M102" s="110">
        <v>0</v>
      </c>
      <c r="N102" s="122">
        <v>0</v>
      </c>
      <c r="O102" s="43">
        <v>0</v>
      </c>
      <c r="P102" s="43">
        <v>0</v>
      </c>
      <c r="Q102" s="148">
        <v>0</v>
      </c>
      <c r="R102" s="185">
        <v>0</v>
      </c>
      <c r="S102" s="56">
        <v>0</v>
      </c>
      <c r="T102" s="239">
        <v>0</v>
      </c>
      <c r="U102" s="56">
        <v>0</v>
      </c>
      <c r="V102" s="56">
        <v>0</v>
      </c>
      <c r="W102" s="56">
        <v>0</v>
      </c>
      <c r="X102" s="114">
        <v>0</v>
      </c>
      <c r="Y102" s="114">
        <v>0</v>
      </c>
      <c r="Z102" s="114">
        <v>0</v>
      </c>
      <c r="AA102" s="114">
        <v>0</v>
      </c>
    </row>
    <row r="103" spans="1:27" ht="41.25" customHeight="1">
      <c r="A103" s="10" t="s">
        <v>81</v>
      </c>
      <c r="B103" s="277" t="s">
        <v>203</v>
      </c>
      <c r="C103" s="277"/>
      <c r="D103" s="277"/>
      <c r="E103" s="277"/>
      <c r="F103" s="19"/>
      <c r="G103" s="19"/>
      <c r="H103" s="19"/>
      <c r="I103" s="19"/>
      <c r="J103" s="43">
        <v>0</v>
      </c>
      <c r="K103" s="79">
        <v>0</v>
      </c>
      <c r="L103" s="43">
        <v>0</v>
      </c>
      <c r="M103" s="110">
        <v>0</v>
      </c>
      <c r="N103" s="122">
        <v>0</v>
      </c>
      <c r="O103" s="43">
        <v>0</v>
      </c>
      <c r="P103" s="43">
        <v>0</v>
      </c>
      <c r="Q103" s="148">
        <v>0</v>
      </c>
      <c r="R103" s="185">
        <v>0</v>
      </c>
      <c r="S103" s="56">
        <v>0</v>
      </c>
      <c r="T103" s="239">
        <v>0</v>
      </c>
      <c r="U103" s="56">
        <v>0</v>
      </c>
      <c r="V103" s="56">
        <v>0</v>
      </c>
      <c r="W103" s="56">
        <v>0</v>
      </c>
      <c r="X103" s="114">
        <v>0</v>
      </c>
      <c r="Y103" s="114">
        <v>0</v>
      </c>
      <c r="Z103" s="114">
        <v>0</v>
      </c>
      <c r="AA103" s="114">
        <v>0</v>
      </c>
    </row>
    <row r="104" spans="1:27" ht="24" customHeight="1">
      <c r="A104" s="10" t="s">
        <v>82</v>
      </c>
      <c r="B104" s="277" t="s">
        <v>83</v>
      </c>
      <c r="C104" s="277"/>
      <c r="D104" s="277"/>
      <c r="E104" s="277"/>
      <c r="F104" s="19"/>
      <c r="G104" s="19"/>
      <c r="H104" s="19"/>
      <c r="I104" s="19"/>
      <c r="J104" s="43">
        <v>0</v>
      </c>
      <c r="K104" s="79">
        <v>0</v>
      </c>
      <c r="L104" s="43">
        <v>0</v>
      </c>
      <c r="M104" s="110">
        <v>0</v>
      </c>
      <c r="N104" s="122">
        <v>0</v>
      </c>
      <c r="O104" s="43">
        <v>0</v>
      </c>
      <c r="P104" s="43">
        <v>0</v>
      </c>
      <c r="Q104" s="148">
        <v>0</v>
      </c>
      <c r="R104" s="185">
        <v>0</v>
      </c>
      <c r="S104" s="56">
        <v>0</v>
      </c>
      <c r="T104" s="239">
        <v>0</v>
      </c>
      <c r="U104" s="56">
        <v>0</v>
      </c>
      <c r="V104" s="56">
        <v>0</v>
      </c>
      <c r="W104" s="56">
        <v>0</v>
      </c>
      <c r="X104" s="114">
        <v>0</v>
      </c>
      <c r="Y104" s="114">
        <v>0</v>
      </c>
      <c r="Z104" s="114">
        <v>0</v>
      </c>
      <c r="AA104" s="114">
        <v>0</v>
      </c>
    </row>
    <row r="105" spans="1:27" ht="36.75" customHeight="1">
      <c r="A105" s="10" t="s">
        <v>84</v>
      </c>
      <c r="B105" s="277" t="s">
        <v>85</v>
      </c>
      <c r="C105" s="277"/>
      <c r="D105" s="277"/>
      <c r="E105" s="277"/>
      <c r="F105" s="19"/>
      <c r="G105" s="19"/>
      <c r="H105" s="19"/>
      <c r="I105" s="19"/>
      <c r="J105" s="43">
        <v>0</v>
      </c>
      <c r="K105" s="79">
        <v>0</v>
      </c>
      <c r="L105" s="43">
        <v>0</v>
      </c>
      <c r="M105" s="110">
        <v>0</v>
      </c>
      <c r="N105" s="122">
        <v>0</v>
      </c>
      <c r="O105" s="43">
        <v>0</v>
      </c>
      <c r="P105" s="43">
        <v>0</v>
      </c>
      <c r="Q105" s="148">
        <v>0</v>
      </c>
      <c r="R105" s="185">
        <v>0</v>
      </c>
      <c r="S105" s="56">
        <v>0</v>
      </c>
      <c r="T105" s="239">
        <v>0</v>
      </c>
      <c r="U105" s="56">
        <v>0</v>
      </c>
      <c r="V105" s="56">
        <v>0</v>
      </c>
      <c r="W105" s="56">
        <v>0</v>
      </c>
      <c r="X105" s="114">
        <v>0</v>
      </c>
      <c r="Y105" s="114">
        <v>0</v>
      </c>
      <c r="Z105" s="114">
        <v>0</v>
      </c>
      <c r="AA105" s="114">
        <v>0</v>
      </c>
    </row>
    <row r="106" spans="1:27" ht="36.75" customHeight="1">
      <c r="A106" s="10" t="s">
        <v>86</v>
      </c>
      <c r="B106" s="277" t="s">
        <v>87</v>
      </c>
      <c r="C106" s="277"/>
      <c r="D106" s="277"/>
      <c r="E106" s="277"/>
      <c r="F106" s="19"/>
      <c r="G106" s="19"/>
      <c r="H106" s="19"/>
      <c r="I106" s="19"/>
      <c r="J106" s="43">
        <v>0</v>
      </c>
      <c r="K106" s="79">
        <v>0</v>
      </c>
      <c r="L106" s="43">
        <v>0</v>
      </c>
      <c r="M106" s="110">
        <v>0</v>
      </c>
      <c r="N106" s="122">
        <v>0</v>
      </c>
      <c r="O106" s="43">
        <v>0</v>
      </c>
      <c r="P106" s="43">
        <v>0</v>
      </c>
      <c r="Q106" s="148">
        <v>0</v>
      </c>
      <c r="R106" s="185">
        <v>0</v>
      </c>
      <c r="S106" s="56">
        <v>0</v>
      </c>
      <c r="T106" s="239">
        <v>0</v>
      </c>
      <c r="U106" s="56">
        <v>0</v>
      </c>
      <c r="V106" s="56">
        <v>0</v>
      </c>
      <c r="W106" s="56">
        <v>0</v>
      </c>
      <c r="X106" s="114">
        <v>0</v>
      </c>
      <c r="Y106" s="114">
        <v>0</v>
      </c>
      <c r="Z106" s="114">
        <v>0</v>
      </c>
      <c r="AA106" s="114">
        <v>0</v>
      </c>
    </row>
    <row r="107" spans="1:27" ht="32.25" customHeight="1">
      <c r="A107" s="10" t="s">
        <v>88</v>
      </c>
      <c r="B107" s="277" t="s">
        <v>89</v>
      </c>
      <c r="C107" s="277"/>
      <c r="D107" s="277"/>
      <c r="E107" s="277"/>
      <c r="F107" s="19"/>
      <c r="G107" s="19"/>
      <c r="H107" s="19"/>
      <c r="I107" s="19"/>
      <c r="J107" s="43">
        <v>0</v>
      </c>
      <c r="K107" s="79">
        <v>0</v>
      </c>
      <c r="L107" s="43">
        <v>0</v>
      </c>
      <c r="M107" s="110">
        <v>0</v>
      </c>
      <c r="N107" s="122">
        <v>0</v>
      </c>
      <c r="O107" s="43">
        <v>0</v>
      </c>
      <c r="P107" s="43">
        <v>0</v>
      </c>
      <c r="Q107" s="148">
        <v>0</v>
      </c>
      <c r="R107" s="185">
        <v>0</v>
      </c>
      <c r="S107" s="56">
        <v>0</v>
      </c>
      <c r="T107" s="239">
        <v>0</v>
      </c>
      <c r="U107" s="56">
        <v>0</v>
      </c>
      <c r="V107" s="56">
        <v>0</v>
      </c>
      <c r="W107" s="56">
        <v>0</v>
      </c>
      <c r="X107" s="114">
        <v>0</v>
      </c>
      <c r="Y107" s="114">
        <v>0</v>
      </c>
      <c r="Z107" s="114">
        <v>0</v>
      </c>
      <c r="AA107" s="114">
        <v>0</v>
      </c>
    </row>
    <row r="108" spans="1:27" ht="31.5" customHeight="1">
      <c r="A108" s="10" t="s">
        <v>90</v>
      </c>
      <c r="B108" s="277" t="s">
        <v>91</v>
      </c>
      <c r="C108" s="277"/>
      <c r="D108" s="277"/>
      <c r="E108" s="277"/>
      <c r="F108" s="19"/>
      <c r="G108" s="19"/>
      <c r="H108" s="19"/>
      <c r="I108" s="19"/>
      <c r="J108" s="43">
        <v>0</v>
      </c>
      <c r="K108" s="79">
        <v>0</v>
      </c>
      <c r="L108" s="43">
        <v>0</v>
      </c>
      <c r="M108" s="110">
        <v>0</v>
      </c>
      <c r="N108" s="122">
        <v>0</v>
      </c>
      <c r="O108" s="43">
        <v>0</v>
      </c>
      <c r="P108" s="43">
        <v>0</v>
      </c>
      <c r="Q108" s="148">
        <v>0</v>
      </c>
      <c r="R108" s="185">
        <v>0</v>
      </c>
      <c r="S108" s="56">
        <v>0</v>
      </c>
      <c r="T108" s="239">
        <v>0</v>
      </c>
      <c r="U108" s="56">
        <v>0</v>
      </c>
      <c r="V108" s="56">
        <v>0</v>
      </c>
      <c r="W108" s="56">
        <v>0</v>
      </c>
      <c r="X108" s="114">
        <v>0</v>
      </c>
      <c r="Y108" s="114">
        <v>0</v>
      </c>
      <c r="Z108" s="114">
        <v>0</v>
      </c>
      <c r="AA108" s="114">
        <v>0</v>
      </c>
    </row>
    <row r="109" spans="1:27" ht="28.5" customHeight="1">
      <c r="A109" s="278" t="s">
        <v>92</v>
      </c>
      <c r="B109" s="278"/>
      <c r="C109" s="278"/>
      <c r="D109" s="278"/>
      <c r="E109" s="278"/>
      <c r="F109" s="72"/>
      <c r="G109" s="72"/>
      <c r="H109" s="72"/>
      <c r="I109" s="72"/>
      <c r="J109" s="74"/>
      <c r="K109" s="74"/>
      <c r="L109" s="75"/>
      <c r="M109" s="75"/>
      <c r="N109" s="76"/>
      <c r="O109" s="76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:27" ht="31.5" customHeight="1">
      <c r="A110" s="10" t="s">
        <v>93</v>
      </c>
      <c r="B110" s="277" t="s">
        <v>186</v>
      </c>
      <c r="C110" s="277"/>
      <c r="D110" s="277"/>
      <c r="E110" s="277"/>
      <c r="F110" s="19"/>
      <c r="G110" s="19"/>
      <c r="H110" s="19"/>
      <c r="I110" s="19"/>
      <c r="J110" s="47">
        <v>0</v>
      </c>
      <c r="K110" s="47">
        <v>0</v>
      </c>
      <c r="L110" s="54">
        <v>260000</v>
      </c>
      <c r="M110" s="110">
        <v>260000</v>
      </c>
      <c r="N110" s="122">
        <v>115125</v>
      </c>
      <c r="O110" s="54">
        <v>115125</v>
      </c>
      <c r="P110" s="129">
        <f>391098+160000</f>
        <v>551098</v>
      </c>
      <c r="Q110" s="129">
        <v>299107.74</v>
      </c>
      <c r="R110" s="47">
        <f>103120+40000+44860</f>
        <v>187980</v>
      </c>
      <c r="S110" s="47">
        <f>103120+40000+44860</f>
        <v>187980</v>
      </c>
      <c r="T110" s="47">
        <f>51570+148000+44860</f>
        <v>244430</v>
      </c>
      <c r="U110" s="47">
        <f>51570+148000+44860</f>
        <v>244430</v>
      </c>
      <c r="V110" s="47">
        <f>0+168953+32064</f>
        <v>201017</v>
      </c>
      <c r="W110" s="47">
        <f>6000000+137816-118</f>
        <v>6137698</v>
      </c>
      <c r="X110" s="47">
        <v>6000000</v>
      </c>
      <c r="Y110" s="47">
        <v>6000000</v>
      </c>
      <c r="Z110" s="47">
        <v>6000000</v>
      </c>
      <c r="AA110" s="47">
        <v>6000000</v>
      </c>
    </row>
    <row r="111" spans="1:27" ht="15.75" customHeight="1">
      <c r="A111" s="10" t="s">
        <v>94</v>
      </c>
      <c r="B111" s="277" t="s">
        <v>187</v>
      </c>
      <c r="C111" s="277"/>
      <c r="D111" s="277"/>
      <c r="E111" s="277"/>
      <c r="F111" s="19"/>
      <c r="G111" s="19"/>
      <c r="H111" s="19"/>
      <c r="I111" s="19"/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121">
        <f>0+53300-53300</f>
        <v>0</v>
      </c>
      <c r="U111" s="121">
        <f>0+53300-53300</f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</row>
    <row r="112" spans="1:27" ht="18.75" customHeight="1">
      <c r="A112" s="10" t="s">
        <v>95</v>
      </c>
      <c r="B112" s="277" t="s">
        <v>188</v>
      </c>
      <c r="C112" s="277"/>
      <c r="D112" s="277"/>
      <c r="E112" s="277"/>
      <c r="F112" s="19"/>
      <c r="G112" s="19"/>
      <c r="H112" s="19"/>
      <c r="I112" s="19"/>
      <c r="J112" s="43">
        <f t="shared" ref="J112:AA112" si="41">SUM(J113:J115)</f>
        <v>0</v>
      </c>
      <c r="K112" s="79">
        <f t="shared" si="41"/>
        <v>0</v>
      </c>
      <c r="L112" s="43">
        <f t="shared" si="41"/>
        <v>0</v>
      </c>
      <c r="M112" s="110">
        <f t="shared" si="41"/>
        <v>0</v>
      </c>
      <c r="N112" s="122">
        <f>SUM(N113:N115)</f>
        <v>0</v>
      </c>
      <c r="O112" s="43">
        <f t="shared" si="41"/>
        <v>0</v>
      </c>
      <c r="P112" s="43">
        <f t="shared" si="41"/>
        <v>0</v>
      </c>
      <c r="Q112" s="148">
        <f>SUM(Q113:Q115)</f>
        <v>0</v>
      </c>
      <c r="R112" s="185">
        <f>SUM(R113:R115)</f>
        <v>0</v>
      </c>
      <c r="S112" s="56">
        <f t="shared" si="41"/>
        <v>0</v>
      </c>
      <c r="T112" s="239">
        <f t="shared" ref="T112" si="42">SUM(T113:T115)</f>
        <v>0</v>
      </c>
      <c r="U112" s="56">
        <f t="shared" si="41"/>
        <v>0</v>
      </c>
      <c r="V112" s="56">
        <f t="shared" si="41"/>
        <v>0</v>
      </c>
      <c r="W112" s="56">
        <f t="shared" si="41"/>
        <v>0</v>
      </c>
      <c r="X112" s="114">
        <f t="shared" si="41"/>
        <v>0</v>
      </c>
      <c r="Y112" s="114">
        <f t="shared" si="41"/>
        <v>0</v>
      </c>
      <c r="Z112" s="114">
        <f t="shared" si="41"/>
        <v>0</v>
      </c>
      <c r="AA112" s="114">
        <f t="shared" si="41"/>
        <v>0</v>
      </c>
    </row>
    <row r="113" spans="1:27" ht="28.5" customHeight="1">
      <c r="A113" s="261" t="s">
        <v>96</v>
      </c>
      <c r="B113" s="261"/>
      <c r="C113" s="277" t="s">
        <v>189</v>
      </c>
      <c r="D113" s="277"/>
      <c r="E113" s="277"/>
      <c r="F113" s="19"/>
      <c r="G113" s="19"/>
      <c r="H113" s="19"/>
      <c r="I113" s="19"/>
      <c r="J113" s="43">
        <v>0</v>
      </c>
      <c r="K113" s="79">
        <v>0</v>
      </c>
      <c r="L113" s="43">
        <v>0</v>
      </c>
      <c r="M113" s="110">
        <v>0</v>
      </c>
      <c r="N113" s="122">
        <v>0</v>
      </c>
      <c r="O113" s="43">
        <v>0</v>
      </c>
      <c r="P113" s="43">
        <v>0</v>
      </c>
      <c r="Q113" s="148">
        <v>0</v>
      </c>
      <c r="R113" s="185">
        <v>0</v>
      </c>
      <c r="S113" s="56">
        <v>0</v>
      </c>
      <c r="T113" s="239">
        <v>0</v>
      </c>
      <c r="U113" s="56">
        <v>0</v>
      </c>
      <c r="V113" s="56">
        <v>0</v>
      </c>
      <c r="W113" s="56">
        <v>0</v>
      </c>
      <c r="X113" s="114">
        <v>0</v>
      </c>
      <c r="Y113" s="114">
        <v>0</v>
      </c>
      <c r="Z113" s="114">
        <v>0</v>
      </c>
      <c r="AA113" s="114">
        <v>0</v>
      </c>
    </row>
    <row r="114" spans="1:27" ht="27" customHeight="1">
      <c r="A114" s="261" t="s">
        <v>97</v>
      </c>
      <c r="B114" s="261"/>
      <c r="C114" s="277" t="s">
        <v>190</v>
      </c>
      <c r="D114" s="277"/>
      <c r="E114" s="277"/>
      <c r="F114" s="19"/>
      <c r="G114" s="19"/>
      <c r="H114" s="19"/>
      <c r="I114" s="19"/>
      <c r="J114" s="43">
        <v>0</v>
      </c>
      <c r="K114" s="79">
        <v>0</v>
      </c>
      <c r="L114" s="43">
        <v>0</v>
      </c>
      <c r="M114" s="110">
        <v>0</v>
      </c>
      <c r="N114" s="122">
        <v>0</v>
      </c>
      <c r="O114" s="43">
        <v>0</v>
      </c>
      <c r="P114" s="43">
        <v>0</v>
      </c>
      <c r="Q114" s="148">
        <v>0</v>
      </c>
      <c r="R114" s="185">
        <v>0</v>
      </c>
      <c r="S114" s="56">
        <v>0</v>
      </c>
      <c r="T114" s="239">
        <v>0</v>
      </c>
      <c r="U114" s="56">
        <v>0</v>
      </c>
      <c r="V114" s="56">
        <v>0</v>
      </c>
      <c r="W114" s="56">
        <v>0</v>
      </c>
      <c r="X114" s="114">
        <v>0</v>
      </c>
      <c r="Y114" s="114">
        <v>0</v>
      </c>
      <c r="Z114" s="114">
        <v>0</v>
      </c>
      <c r="AA114" s="114">
        <v>0</v>
      </c>
    </row>
    <row r="115" spans="1:27" ht="18.75" customHeight="1">
      <c r="A115" s="261" t="s">
        <v>98</v>
      </c>
      <c r="B115" s="261"/>
      <c r="C115" s="277" t="s">
        <v>191</v>
      </c>
      <c r="D115" s="277"/>
      <c r="E115" s="277"/>
      <c r="F115" s="19"/>
      <c r="G115" s="19"/>
      <c r="H115" s="19"/>
      <c r="I115" s="19"/>
      <c r="J115" s="43">
        <v>0</v>
      </c>
      <c r="K115" s="79">
        <v>0</v>
      </c>
      <c r="L115" s="43">
        <v>0</v>
      </c>
      <c r="M115" s="110">
        <v>0</v>
      </c>
      <c r="N115" s="122">
        <v>0</v>
      </c>
      <c r="O115" s="43">
        <v>0</v>
      </c>
      <c r="P115" s="43">
        <v>0</v>
      </c>
      <c r="Q115" s="148">
        <v>0</v>
      </c>
      <c r="R115" s="185">
        <v>0</v>
      </c>
      <c r="S115" s="56">
        <v>0</v>
      </c>
      <c r="T115" s="239">
        <v>0</v>
      </c>
      <c r="U115" s="56">
        <v>0</v>
      </c>
      <c r="V115" s="56">
        <v>0</v>
      </c>
      <c r="W115" s="56">
        <v>0</v>
      </c>
      <c r="X115" s="114">
        <v>0</v>
      </c>
      <c r="Y115" s="114">
        <v>0</v>
      </c>
      <c r="Z115" s="114">
        <v>0</v>
      </c>
      <c r="AA115" s="114">
        <v>0</v>
      </c>
    </row>
    <row r="116" spans="1:27" ht="31.5" customHeight="1">
      <c r="A116" s="10" t="s">
        <v>99</v>
      </c>
      <c r="B116" s="277" t="s">
        <v>192</v>
      </c>
      <c r="C116" s="277"/>
      <c r="D116" s="277"/>
      <c r="E116" s="277"/>
      <c r="F116" s="19"/>
      <c r="G116" s="19"/>
      <c r="H116" s="19"/>
      <c r="I116" s="19"/>
      <c r="J116" s="43">
        <v>0</v>
      </c>
      <c r="K116" s="79">
        <v>0</v>
      </c>
      <c r="L116" s="43">
        <v>0</v>
      </c>
      <c r="M116" s="110">
        <v>0</v>
      </c>
      <c r="N116" s="122">
        <v>0</v>
      </c>
      <c r="O116" s="43">
        <v>0</v>
      </c>
      <c r="P116" s="43">
        <v>0</v>
      </c>
      <c r="Q116" s="172">
        <v>251989.97</v>
      </c>
      <c r="R116" s="185">
        <v>0</v>
      </c>
      <c r="S116" s="56">
        <v>0</v>
      </c>
      <c r="T116" s="239">
        <v>0</v>
      </c>
      <c r="U116" s="56">
        <v>0</v>
      </c>
      <c r="V116" s="56">
        <v>0</v>
      </c>
      <c r="W116" s="56">
        <v>0</v>
      </c>
      <c r="X116" s="114">
        <v>0</v>
      </c>
      <c r="Y116" s="114">
        <v>0</v>
      </c>
      <c r="Z116" s="114">
        <v>0</v>
      </c>
      <c r="AA116" s="114">
        <v>0</v>
      </c>
    </row>
    <row r="117" spans="1:27" s="90" customFormat="1" ht="28.5" hidden="1" customHeight="1">
      <c r="A117" s="278" t="s">
        <v>141</v>
      </c>
      <c r="B117" s="278"/>
      <c r="C117" s="278"/>
      <c r="D117" s="278"/>
      <c r="E117" s="278"/>
      <c r="F117" s="85"/>
      <c r="G117" s="85"/>
      <c r="H117" s="85"/>
      <c r="I117" s="85"/>
      <c r="J117" s="74"/>
      <c r="K117" s="74"/>
      <c r="L117" s="75"/>
      <c r="M117" s="75"/>
      <c r="N117" s="76"/>
      <c r="O117" s="76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</row>
    <row r="118" spans="1:27" s="90" customFormat="1" ht="31.5" hidden="1" customHeight="1">
      <c r="A118" s="91" t="s">
        <v>142</v>
      </c>
      <c r="B118" s="298" t="s">
        <v>143</v>
      </c>
      <c r="C118" s="298"/>
      <c r="D118" s="298"/>
      <c r="E118" s="298"/>
      <c r="F118" s="84"/>
      <c r="G118" s="84"/>
      <c r="H118" s="84"/>
      <c r="I118" s="84"/>
      <c r="J118" s="47">
        <v>0</v>
      </c>
      <c r="K118" s="47">
        <v>0</v>
      </c>
      <c r="L118" s="97">
        <v>0</v>
      </c>
      <c r="M118" s="110">
        <v>0</v>
      </c>
      <c r="N118" s="122">
        <v>0</v>
      </c>
      <c r="O118" s="97">
        <v>0</v>
      </c>
      <c r="P118" s="97">
        <v>0</v>
      </c>
      <c r="Q118" s="148">
        <v>0</v>
      </c>
      <c r="R118" s="185">
        <v>0</v>
      </c>
      <c r="S118" s="97">
        <v>0</v>
      </c>
      <c r="T118" s="239">
        <v>0</v>
      </c>
      <c r="U118" s="97">
        <v>0</v>
      </c>
      <c r="V118" s="97">
        <v>0</v>
      </c>
      <c r="W118" s="97">
        <v>0</v>
      </c>
      <c r="X118" s="114">
        <v>0</v>
      </c>
      <c r="Y118" s="114">
        <v>0</v>
      </c>
      <c r="Z118" s="114">
        <v>0</v>
      </c>
      <c r="AA118" s="114">
        <v>0</v>
      </c>
    </row>
    <row r="119" spans="1:27" s="90" customFormat="1" ht="28.5" hidden="1" customHeight="1">
      <c r="A119" s="262" t="s">
        <v>144</v>
      </c>
      <c r="B119" s="262"/>
      <c r="C119" s="298" t="s">
        <v>193</v>
      </c>
      <c r="D119" s="298"/>
      <c r="E119" s="298"/>
      <c r="F119" s="84"/>
      <c r="G119" s="84"/>
      <c r="H119" s="84"/>
      <c r="I119" s="84"/>
      <c r="J119" s="86">
        <v>0</v>
      </c>
      <c r="K119" s="86">
        <v>0</v>
      </c>
      <c r="L119" s="97">
        <v>0</v>
      </c>
      <c r="M119" s="110">
        <v>0</v>
      </c>
      <c r="N119" s="122">
        <v>0</v>
      </c>
      <c r="O119" s="97">
        <v>0</v>
      </c>
      <c r="P119" s="97">
        <v>0</v>
      </c>
      <c r="Q119" s="148">
        <v>0</v>
      </c>
      <c r="R119" s="185">
        <v>0</v>
      </c>
      <c r="S119" s="97">
        <v>0</v>
      </c>
      <c r="T119" s="239">
        <v>0</v>
      </c>
      <c r="U119" s="97">
        <v>0</v>
      </c>
      <c r="V119" s="97">
        <v>0</v>
      </c>
      <c r="W119" s="97">
        <v>0</v>
      </c>
      <c r="X119" s="114">
        <v>0</v>
      </c>
      <c r="Y119" s="114">
        <v>0</v>
      </c>
      <c r="Z119" s="114">
        <v>0</v>
      </c>
      <c r="AA119" s="114">
        <v>0</v>
      </c>
    </row>
    <row r="120" spans="1:27" s="90" customFormat="1" ht="31.5" hidden="1" customHeight="1">
      <c r="A120" s="91" t="s">
        <v>145</v>
      </c>
      <c r="B120" s="298" t="s">
        <v>194</v>
      </c>
      <c r="C120" s="298"/>
      <c r="D120" s="298"/>
      <c r="E120" s="298"/>
      <c r="F120" s="84"/>
      <c r="G120" s="84"/>
      <c r="H120" s="84"/>
      <c r="I120" s="84"/>
      <c r="J120" s="47">
        <v>0</v>
      </c>
      <c r="K120" s="47">
        <v>0</v>
      </c>
      <c r="L120" s="97">
        <v>0</v>
      </c>
      <c r="M120" s="110">
        <v>0</v>
      </c>
      <c r="N120" s="122">
        <v>0</v>
      </c>
      <c r="O120" s="97">
        <v>0</v>
      </c>
      <c r="P120" s="97">
        <v>0</v>
      </c>
      <c r="Q120" s="148">
        <v>0</v>
      </c>
      <c r="R120" s="185">
        <v>0</v>
      </c>
      <c r="S120" s="97">
        <v>0</v>
      </c>
      <c r="T120" s="239">
        <v>0</v>
      </c>
      <c r="U120" s="97">
        <v>0</v>
      </c>
      <c r="V120" s="97">
        <v>0</v>
      </c>
      <c r="W120" s="97">
        <v>0</v>
      </c>
      <c r="X120" s="114">
        <v>0</v>
      </c>
      <c r="Y120" s="114">
        <v>0</v>
      </c>
      <c r="Z120" s="114">
        <v>0</v>
      </c>
      <c r="AA120" s="114">
        <v>0</v>
      </c>
    </row>
    <row r="121" spans="1:27" s="109" customFormat="1" ht="28.5" hidden="1" customHeight="1">
      <c r="A121" s="278" t="s">
        <v>196</v>
      </c>
      <c r="B121" s="278"/>
      <c r="C121" s="278"/>
      <c r="D121" s="278"/>
      <c r="E121" s="278"/>
      <c r="F121" s="107"/>
      <c r="G121" s="107"/>
      <c r="H121" s="107"/>
      <c r="I121" s="107"/>
      <c r="J121" s="74"/>
      <c r="K121" s="74"/>
      <c r="L121" s="75"/>
      <c r="M121" s="75"/>
      <c r="N121" s="76"/>
      <c r="O121" s="76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2" spans="1:27" s="109" customFormat="1" ht="31.5" hidden="1" customHeight="1">
      <c r="A122" s="105" t="s">
        <v>197</v>
      </c>
      <c r="B122" s="298" t="s">
        <v>198</v>
      </c>
      <c r="C122" s="298"/>
      <c r="D122" s="298"/>
      <c r="E122" s="298"/>
      <c r="F122" s="106"/>
      <c r="G122" s="106"/>
      <c r="H122" s="106"/>
      <c r="I122" s="106"/>
      <c r="J122" s="47">
        <v>0</v>
      </c>
      <c r="K122" s="47">
        <v>0</v>
      </c>
      <c r="L122" s="108">
        <v>0</v>
      </c>
      <c r="M122" s="110">
        <v>0</v>
      </c>
      <c r="N122" s="122">
        <v>0</v>
      </c>
      <c r="O122" s="108">
        <v>0</v>
      </c>
      <c r="P122" s="108">
        <v>0</v>
      </c>
      <c r="Q122" s="148">
        <v>0</v>
      </c>
      <c r="R122" s="185">
        <v>0</v>
      </c>
      <c r="S122" s="108">
        <v>0</v>
      </c>
      <c r="T122" s="239">
        <v>0</v>
      </c>
      <c r="U122" s="108">
        <v>0</v>
      </c>
      <c r="V122" s="108">
        <v>0</v>
      </c>
      <c r="W122" s="108">
        <v>0</v>
      </c>
      <c r="X122" s="114">
        <v>0</v>
      </c>
      <c r="Y122" s="114">
        <v>0</v>
      </c>
      <c r="Z122" s="114">
        <v>0</v>
      </c>
      <c r="AA122" s="114">
        <v>0</v>
      </c>
    </row>
    <row r="123" spans="1:27" s="109" customFormat="1" ht="21" hidden="1" customHeight="1">
      <c r="A123" s="105" t="s">
        <v>199</v>
      </c>
      <c r="B123" s="298" t="s">
        <v>200</v>
      </c>
      <c r="C123" s="298"/>
      <c r="D123" s="298"/>
      <c r="E123" s="298"/>
      <c r="F123" s="106"/>
      <c r="G123" s="106"/>
      <c r="H123" s="106"/>
      <c r="I123" s="106"/>
      <c r="J123" s="47">
        <v>0</v>
      </c>
      <c r="K123" s="47">
        <v>0</v>
      </c>
      <c r="L123" s="108">
        <v>0</v>
      </c>
      <c r="M123" s="110">
        <v>0</v>
      </c>
      <c r="N123" s="122">
        <v>0</v>
      </c>
      <c r="O123" s="108">
        <v>0</v>
      </c>
      <c r="P123" s="108">
        <v>0</v>
      </c>
      <c r="Q123" s="148">
        <v>0</v>
      </c>
      <c r="R123" s="185">
        <v>0</v>
      </c>
      <c r="S123" s="108">
        <v>0</v>
      </c>
      <c r="T123" s="239">
        <v>0</v>
      </c>
      <c r="U123" s="108">
        <v>0</v>
      </c>
      <c r="V123" s="108">
        <v>0</v>
      </c>
      <c r="W123" s="108">
        <v>0</v>
      </c>
      <c r="X123" s="114">
        <v>0</v>
      </c>
      <c r="Y123" s="114">
        <v>0</v>
      </c>
      <c r="Z123" s="114">
        <v>0</v>
      </c>
      <c r="AA123" s="114">
        <v>0</v>
      </c>
    </row>
    <row r="124" spans="1:27" s="109" customFormat="1" ht="21" hidden="1" customHeight="1">
      <c r="A124" s="105" t="s">
        <v>201</v>
      </c>
      <c r="B124" s="298" t="s">
        <v>202</v>
      </c>
      <c r="C124" s="298"/>
      <c r="D124" s="298"/>
      <c r="E124" s="298"/>
      <c r="F124" s="106"/>
      <c r="G124" s="106"/>
      <c r="H124" s="106"/>
      <c r="I124" s="106"/>
      <c r="J124" s="47">
        <v>0</v>
      </c>
      <c r="K124" s="47">
        <v>0</v>
      </c>
      <c r="L124" s="108">
        <v>0</v>
      </c>
      <c r="M124" s="110">
        <v>0</v>
      </c>
      <c r="N124" s="122">
        <v>0</v>
      </c>
      <c r="O124" s="108">
        <v>0</v>
      </c>
      <c r="P124" s="108">
        <v>0</v>
      </c>
      <c r="Q124" s="148">
        <v>0</v>
      </c>
      <c r="R124" s="185">
        <v>0</v>
      </c>
      <c r="S124" s="108">
        <v>0</v>
      </c>
      <c r="T124" s="239">
        <v>0</v>
      </c>
      <c r="U124" s="108">
        <v>0</v>
      </c>
      <c r="V124" s="108">
        <v>0</v>
      </c>
      <c r="W124" s="108">
        <v>0</v>
      </c>
      <c r="X124" s="114">
        <v>0</v>
      </c>
      <c r="Y124" s="114">
        <v>0</v>
      </c>
      <c r="Z124" s="114">
        <v>0</v>
      </c>
      <c r="AA124" s="114">
        <v>0</v>
      </c>
    </row>
    <row r="125" spans="1:27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>
      <c r="A126" s="300"/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151"/>
      <c r="S126" s="1"/>
      <c r="U126" s="1"/>
      <c r="V126" s="1"/>
      <c r="W126" s="1"/>
    </row>
    <row r="127" spans="1:27" ht="24.75" customHeight="1">
      <c r="A127" s="300"/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151"/>
      <c r="S127" s="1"/>
      <c r="U127" s="1"/>
      <c r="V127" s="1"/>
      <c r="W127" s="1"/>
    </row>
    <row r="128" spans="1:27" ht="28.5" customHeight="1">
      <c r="A128" s="300"/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151"/>
      <c r="S128" s="1"/>
      <c r="U128" s="1"/>
      <c r="V128" s="1"/>
      <c r="W128" s="1"/>
    </row>
    <row r="129" spans="1:23" ht="15.75" customHeight="1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152"/>
      <c r="S129" s="1"/>
      <c r="U129" s="1"/>
      <c r="V129" s="1"/>
      <c r="W129" s="1"/>
    </row>
    <row r="130" spans="1:23">
      <c r="A130" s="5"/>
    </row>
    <row r="131" spans="1:23">
      <c r="A131" s="3"/>
      <c r="B131" s="2"/>
      <c r="C131" s="2"/>
      <c r="D131" s="2"/>
      <c r="E131" s="2"/>
      <c r="J131" s="2"/>
      <c r="L131" s="2"/>
      <c r="O131" s="2"/>
      <c r="P131" s="2"/>
    </row>
    <row r="135" spans="1:23">
      <c r="A135" s="295"/>
      <c r="B135" s="296"/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1"/>
    </row>
    <row r="136" spans="1:23">
      <c r="A136" s="295"/>
      <c r="B136" s="296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1"/>
    </row>
    <row r="137" spans="1:23">
      <c r="A137" s="295"/>
      <c r="B137" s="296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1"/>
    </row>
    <row r="138" spans="1:23">
      <c r="A138" s="295"/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1"/>
    </row>
    <row r="139" spans="1:23">
      <c r="A139" s="295"/>
      <c r="B139" s="296"/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1"/>
    </row>
    <row r="140" spans="1:23">
      <c r="A140" s="295"/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1"/>
    </row>
    <row r="141" spans="1:23">
      <c r="A141" s="295"/>
      <c r="B141" s="296"/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1"/>
    </row>
    <row r="142" spans="1:23">
      <c r="A142" s="295"/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1"/>
    </row>
    <row r="143" spans="1:23">
      <c r="A143" s="295"/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1"/>
    </row>
    <row r="144" spans="1:23">
      <c r="A144" s="295"/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1"/>
    </row>
    <row r="145" spans="1:23">
      <c r="A145" s="295"/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1"/>
    </row>
    <row r="146" spans="1:23">
      <c r="A146" s="295"/>
      <c r="B146" s="296"/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1"/>
    </row>
    <row r="147" spans="1:23">
      <c r="A147" s="295"/>
      <c r="B147" s="296"/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1"/>
    </row>
    <row r="148" spans="1:23">
      <c r="A148" s="295"/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1"/>
    </row>
    <row r="149" spans="1:23">
      <c r="A149" s="295"/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1"/>
    </row>
    <row r="150" spans="1:23">
      <c r="A150" s="295"/>
      <c r="B150" s="296"/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1"/>
    </row>
    <row r="151" spans="1:23">
      <c r="A151" s="295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1"/>
    </row>
    <row r="152" spans="1:23">
      <c r="A152" s="295"/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1"/>
    </row>
    <row r="153" spans="1:23">
      <c r="A153" s="295"/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1"/>
    </row>
    <row r="154" spans="1:23">
      <c r="A154" s="295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1"/>
    </row>
    <row r="155" spans="1:23">
      <c r="A155" s="295"/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1"/>
    </row>
    <row r="156" spans="1:23">
      <c r="A156" s="295"/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1"/>
    </row>
    <row r="157" spans="1:23">
      <c r="A157" s="295"/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1"/>
    </row>
    <row r="158" spans="1:23">
      <c r="A158" s="295"/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1"/>
    </row>
    <row r="159" spans="1:23">
      <c r="A159" s="295"/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1"/>
    </row>
    <row r="160" spans="1:23">
      <c r="A160" s="295"/>
      <c r="B160" s="296"/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1"/>
    </row>
    <row r="161" spans="1:23">
      <c r="A161" s="295"/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1"/>
    </row>
    <row r="162" spans="1:23">
      <c r="A162" s="295"/>
      <c r="B162" s="296"/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1"/>
    </row>
    <row r="163" spans="1:23">
      <c r="A163" s="295"/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1"/>
    </row>
    <row r="164" spans="1:23">
      <c r="A164" s="295"/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1"/>
    </row>
    <row r="165" spans="1:23">
      <c r="A165" s="295"/>
      <c r="B165" s="296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1"/>
    </row>
    <row r="166" spans="1:23">
      <c r="A166" s="295"/>
      <c r="B166" s="296"/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1"/>
    </row>
    <row r="167" spans="1:23">
      <c r="A167" s="295"/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1"/>
    </row>
    <row r="168" spans="1:23">
      <c r="A168" s="295"/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1"/>
    </row>
    <row r="169" spans="1:23">
      <c r="A169" s="295"/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1"/>
    </row>
    <row r="170" spans="1:23">
      <c r="A170" s="295"/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1"/>
    </row>
    <row r="171" spans="1:23">
      <c r="A171" s="295"/>
      <c r="B171" s="296"/>
      <c r="C171" s="296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1"/>
    </row>
    <row r="172" spans="1:23">
      <c r="A172" s="295"/>
      <c r="B172" s="296"/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1"/>
    </row>
    <row r="173" spans="1:23">
      <c r="A173" s="295"/>
      <c r="B173" s="296"/>
      <c r="C173" s="296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1"/>
    </row>
    <row r="174" spans="1:23">
      <c r="A174" s="295"/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1"/>
    </row>
    <row r="175" spans="1:23">
      <c r="A175" s="295"/>
      <c r="B175" s="296"/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1"/>
    </row>
    <row r="176" spans="1:23">
      <c r="A176" s="295"/>
      <c r="B176" s="296"/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1"/>
    </row>
    <row r="177" spans="1:23">
      <c r="A177" s="295"/>
      <c r="B177" s="296"/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1"/>
    </row>
    <row r="178" spans="1:23">
      <c r="A178" s="295"/>
      <c r="B178" s="296"/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1"/>
    </row>
    <row r="179" spans="1:23">
      <c r="A179" s="295"/>
      <c r="B179" s="296"/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1"/>
    </row>
    <row r="180" spans="1:23">
      <c r="A180" s="295"/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1"/>
    </row>
    <row r="181" spans="1:23">
      <c r="A181" s="295"/>
      <c r="B181" s="296"/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1"/>
    </row>
    <row r="182" spans="1:23">
      <c r="A182" s="295"/>
      <c r="B182" s="296"/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1"/>
    </row>
    <row r="183" spans="1:23">
      <c r="A183" s="295"/>
      <c r="B183" s="296"/>
      <c r="C183" s="296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1"/>
    </row>
    <row r="184" spans="1:23">
      <c r="A184" s="295"/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1"/>
    </row>
    <row r="185" spans="1:23">
      <c r="A185" s="295"/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1"/>
    </row>
    <row r="186" spans="1:23">
      <c r="A186" s="295"/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1"/>
    </row>
    <row r="187" spans="1:23">
      <c r="A187" s="295"/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1"/>
    </row>
    <row r="188" spans="1:23">
      <c r="A188" s="295"/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1"/>
    </row>
    <row r="189" spans="1:23">
      <c r="A189" s="295"/>
      <c r="B189" s="296"/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1"/>
    </row>
    <row r="190" spans="1:23">
      <c r="A190" s="295"/>
      <c r="B190" s="296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1"/>
    </row>
    <row r="191" spans="1:23">
      <c r="A191" s="295"/>
      <c r="B191" s="296"/>
      <c r="C191" s="296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1"/>
    </row>
    <row r="192" spans="1:23">
      <c r="A192" s="295"/>
      <c r="B192" s="296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1"/>
    </row>
    <row r="193" spans="1:23">
      <c r="A193" s="295"/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1"/>
    </row>
    <row r="194" spans="1:23">
      <c r="A194" s="295"/>
      <c r="B194" s="296"/>
      <c r="C194" s="296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1"/>
    </row>
    <row r="195" spans="1:23">
      <c r="A195" s="295"/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/>
      <c r="V195" s="296"/>
      <c r="W195" s="1"/>
    </row>
    <row r="196" spans="1:23">
      <c r="A196" s="295"/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1"/>
    </row>
    <row r="197" spans="1:23">
      <c r="A197" s="295"/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1"/>
    </row>
    <row r="198" spans="1:23">
      <c r="A198" s="295"/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1"/>
    </row>
    <row r="199" spans="1:23">
      <c r="A199" s="295"/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1"/>
    </row>
    <row r="200" spans="1:23">
      <c r="A200" s="295"/>
      <c r="B200" s="296"/>
      <c r="C200" s="296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1"/>
    </row>
    <row r="259" spans="1:23">
      <c r="A259" s="295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1"/>
    </row>
    <row r="260" spans="1:23">
      <c r="A260" s="295"/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1"/>
    </row>
    <row r="261" spans="1:23">
      <c r="A261" s="295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1"/>
    </row>
    <row r="262" spans="1:23">
      <c r="A262" s="295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1"/>
    </row>
    <row r="263" spans="1:23">
      <c r="A263" s="295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1"/>
    </row>
    <row r="264" spans="1:23">
      <c r="A264" s="295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1"/>
    </row>
    <row r="265" spans="1:23">
      <c r="A265" s="295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1"/>
    </row>
    <row r="266" spans="1:23">
      <c r="A266" s="295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1"/>
    </row>
    <row r="267" spans="1:23">
      <c r="A267" s="295"/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1"/>
    </row>
    <row r="268" spans="1:23">
      <c r="A268" s="295"/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1"/>
    </row>
    <row r="269" spans="1:23">
      <c r="A269" s="295"/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1"/>
    </row>
    <row r="270" spans="1:23">
      <c r="A270" s="295"/>
      <c r="B270" s="296"/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1"/>
    </row>
    <row r="271" spans="1:23">
      <c r="A271" s="295"/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1"/>
    </row>
    <row r="272" spans="1:23">
      <c r="A272" s="295"/>
      <c r="B272" s="296"/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1"/>
    </row>
    <row r="273" spans="1:23">
      <c r="A273" s="295"/>
      <c r="B273" s="296"/>
      <c r="C273" s="296"/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1"/>
    </row>
    <row r="274" spans="1:23">
      <c r="A274" s="295"/>
      <c r="B274" s="296"/>
      <c r="C274" s="296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1"/>
    </row>
    <row r="275" spans="1:23">
      <c r="A275" s="295"/>
      <c r="B275" s="296"/>
      <c r="C275" s="296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1"/>
    </row>
    <row r="276" spans="1:23">
      <c r="A276" s="295"/>
      <c r="B276" s="296"/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1"/>
    </row>
    <row r="277" spans="1:23">
      <c r="A277" s="295"/>
      <c r="B277" s="296"/>
      <c r="C277" s="296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1"/>
    </row>
    <row r="278" spans="1:23">
      <c r="A278" s="295"/>
      <c r="B278" s="296"/>
      <c r="C278" s="296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1"/>
    </row>
    <row r="279" spans="1:23">
      <c r="A279" s="295"/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1"/>
    </row>
    <row r="280" spans="1:23">
      <c r="A280" s="295"/>
      <c r="B280" s="296"/>
      <c r="C280" s="296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1"/>
    </row>
    <row r="281" spans="1:23">
      <c r="A281" s="295"/>
      <c r="B281" s="296"/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1"/>
    </row>
    <row r="282" spans="1:23">
      <c r="A282" s="295"/>
      <c r="B282" s="296"/>
      <c r="C282" s="296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1"/>
    </row>
    <row r="283" spans="1:23">
      <c r="A283" s="295"/>
      <c r="B283" s="296"/>
      <c r="C283" s="296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1"/>
    </row>
    <row r="284" spans="1:23">
      <c r="A284" s="295"/>
      <c r="B284" s="296"/>
      <c r="C284" s="296"/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1"/>
    </row>
    <row r="285" spans="1:23">
      <c r="A285" s="295"/>
      <c r="B285" s="296"/>
      <c r="C285" s="296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1"/>
    </row>
    <row r="286" spans="1:23">
      <c r="A286" s="295"/>
      <c r="B286" s="296"/>
      <c r="C286" s="296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1"/>
    </row>
    <row r="287" spans="1:23">
      <c r="A287" s="295"/>
      <c r="B287" s="296"/>
      <c r="C287" s="296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1"/>
    </row>
    <row r="288" spans="1:23">
      <c r="A288" s="295"/>
      <c r="B288" s="296"/>
      <c r="C288" s="296"/>
      <c r="D288" s="296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1"/>
    </row>
    <row r="289" spans="1:23">
      <c r="A289" s="295"/>
      <c r="B289" s="296"/>
      <c r="C289" s="296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1"/>
    </row>
    <row r="290" spans="1:23">
      <c r="A290" s="295"/>
      <c r="B290" s="296"/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1"/>
    </row>
    <row r="291" spans="1:23">
      <c r="A291" s="295"/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1"/>
    </row>
    <row r="292" spans="1:23">
      <c r="A292" s="295"/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1"/>
    </row>
    <row r="293" spans="1:23">
      <c r="A293" s="295"/>
      <c r="B293" s="296"/>
      <c r="C293" s="296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1"/>
    </row>
    <row r="294" spans="1:23">
      <c r="A294" s="295"/>
      <c r="B294" s="296"/>
      <c r="C294" s="296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1"/>
    </row>
    <row r="295" spans="1:23">
      <c r="A295" s="295"/>
      <c r="B295" s="296"/>
      <c r="C295" s="296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1"/>
    </row>
    <row r="296" spans="1:23">
      <c r="A296" s="295"/>
      <c r="B296" s="296"/>
      <c r="C296" s="296"/>
      <c r="D296" s="296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1"/>
    </row>
    <row r="297" spans="1:23">
      <c r="A297" s="295"/>
      <c r="B297" s="296"/>
      <c r="C297" s="296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1"/>
    </row>
    <row r="298" spans="1:23">
      <c r="A298" s="295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1"/>
    </row>
    <row r="299" spans="1:23">
      <c r="A299" s="295"/>
      <c r="B299" s="296"/>
      <c r="C299" s="296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1"/>
    </row>
    <row r="300" spans="1:23">
      <c r="A300" s="295"/>
      <c r="B300" s="296"/>
      <c r="C300" s="296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1"/>
    </row>
    <row r="301" spans="1:23">
      <c r="A301" s="295"/>
      <c r="B301" s="296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1"/>
    </row>
    <row r="302" spans="1:23">
      <c r="A302" s="295"/>
      <c r="B302" s="296"/>
      <c r="C302" s="296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1"/>
    </row>
    <row r="303" spans="1:23">
      <c r="A303" s="295"/>
      <c r="B303" s="296"/>
      <c r="C303" s="296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1"/>
    </row>
    <row r="304" spans="1:23">
      <c r="A304" s="295"/>
      <c r="B304" s="296"/>
      <c r="C304" s="296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1"/>
    </row>
    <row r="305" spans="1:23">
      <c r="A305" s="295"/>
      <c r="B305" s="296"/>
      <c r="C305" s="296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1"/>
    </row>
    <row r="306" spans="1:23">
      <c r="A306" s="295"/>
      <c r="B306" s="296"/>
      <c r="C306" s="296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1"/>
    </row>
    <row r="307" spans="1:23">
      <c r="A307" s="295"/>
      <c r="B307" s="296"/>
      <c r="C307" s="296"/>
      <c r="D307" s="296"/>
      <c r="E307" s="296"/>
      <c r="F307" s="296"/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1"/>
    </row>
    <row r="308" spans="1:23">
      <c r="A308" s="295"/>
      <c r="B308" s="296"/>
      <c r="C308" s="296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1"/>
    </row>
    <row r="309" spans="1:23">
      <c r="A309" s="295"/>
      <c r="B309" s="296"/>
      <c r="C309" s="296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1"/>
    </row>
    <row r="310" spans="1:23">
      <c r="A310" s="295"/>
      <c r="B310" s="296"/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1"/>
    </row>
    <row r="311" spans="1:23">
      <c r="A311" s="295"/>
      <c r="B311" s="296"/>
      <c r="C311" s="296"/>
      <c r="D311" s="296"/>
      <c r="E311" s="296"/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1"/>
    </row>
    <row r="312" spans="1:23">
      <c r="A312" s="295"/>
      <c r="B312" s="296"/>
      <c r="C312" s="296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1"/>
    </row>
    <row r="313" spans="1:23">
      <c r="A313" s="295"/>
      <c r="B313" s="296"/>
      <c r="C313" s="296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1"/>
    </row>
    <row r="314" spans="1:23">
      <c r="A314" s="295"/>
      <c r="B314" s="296"/>
      <c r="C314" s="296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1"/>
    </row>
    <row r="315" spans="1:23">
      <c r="A315" s="295"/>
      <c r="B315" s="296"/>
      <c r="C315" s="296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1"/>
    </row>
    <row r="316" spans="1:23">
      <c r="A316" s="295"/>
      <c r="B316" s="296"/>
      <c r="C316" s="296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1"/>
    </row>
    <row r="317" spans="1:23">
      <c r="A317" s="295"/>
      <c r="B317" s="296"/>
      <c r="C317" s="296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1"/>
    </row>
    <row r="318" spans="1:23">
      <c r="A318" s="295"/>
      <c r="B318" s="296"/>
      <c r="C318" s="296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1"/>
    </row>
    <row r="319" spans="1:23">
      <c r="A319" s="295"/>
      <c r="B319" s="296"/>
      <c r="C319" s="296"/>
      <c r="D319" s="296"/>
      <c r="E319" s="296"/>
      <c r="F319" s="296"/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1"/>
    </row>
    <row r="320" spans="1:23">
      <c r="A320" s="295"/>
      <c r="B320" s="296"/>
      <c r="C320" s="296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1"/>
    </row>
    <row r="321" spans="1:23">
      <c r="A321" s="295"/>
      <c r="B321" s="296"/>
      <c r="C321" s="296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1"/>
    </row>
    <row r="322" spans="1:23">
      <c r="A322" s="295"/>
      <c r="B322" s="296"/>
      <c r="C322" s="296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1"/>
    </row>
    <row r="323" spans="1:23">
      <c r="A323" s="295"/>
      <c r="B323" s="296"/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1"/>
    </row>
    <row r="324" spans="1:23">
      <c r="A324" s="295"/>
      <c r="B324" s="296"/>
      <c r="C324" s="296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1"/>
    </row>
    <row r="325" spans="1:23">
      <c r="A325" s="295"/>
      <c r="B325" s="296"/>
      <c r="C325" s="296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1"/>
    </row>
    <row r="326" spans="1:23">
      <c r="A326" s="295"/>
      <c r="B326" s="296"/>
      <c r="C326" s="296"/>
      <c r="D326" s="296"/>
      <c r="E326" s="296"/>
      <c r="F326" s="296"/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1"/>
    </row>
    <row r="327" spans="1:23">
      <c r="A327" s="295"/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1"/>
    </row>
    <row r="328" spans="1:23">
      <c r="A328" s="295"/>
      <c r="B328" s="296"/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1"/>
    </row>
    <row r="329" spans="1:23">
      <c r="A329" s="295"/>
      <c r="B329" s="296"/>
      <c r="C329" s="296"/>
      <c r="D329" s="296"/>
      <c r="E329" s="296"/>
      <c r="F329" s="296"/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1"/>
    </row>
    <row r="330" spans="1:23">
      <c r="A330" s="295"/>
      <c r="B330" s="296"/>
      <c r="C330" s="296"/>
      <c r="D330" s="296"/>
      <c r="E330" s="296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1"/>
    </row>
    <row r="331" spans="1:23">
      <c r="A331" s="295"/>
      <c r="B331" s="296"/>
      <c r="C331" s="296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1"/>
    </row>
    <row r="332" spans="1:23">
      <c r="A332" s="295"/>
      <c r="B332" s="296"/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1"/>
    </row>
    <row r="333" spans="1:23">
      <c r="A333" s="295"/>
      <c r="B333" s="296"/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1"/>
    </row>
    <row r="334" spans="1:23">
      <c r="A334" s="295"/>
      <c r="B334" s="296"/>
      <c r="C334" s="296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1"/>
    </row>
    <row r="335" spans="1:23">
      <c r="A335" s="295"/>
      <c r="B335" s="296"/>
      <c r="C335" s="296"/>
      <c r="D335" s="296"/>
      <c r="E335" s="296"/>
      <c r="F335" s="296"/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1"/>
    </row>
    <row r="336" spans="1:23">
      <c r="A336" s="295"/>
      <c r="B336" s="296"/>
      <c r="C336" s="296"/>
      <c r="D336" s="296"/>
      <c r="E336" s="296"/>
      <c r="F336" s="296"/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1"/>
    </row>
    <row r="337" spans="1:23">
      <c r="A337" s="295"/>
      <c r="B337" s="296"/>
      <c r="C337" s="296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1"/>
    </row>
    <row r="338" spans="1:23">
      <c r="A338" s="295"/>
      <c r="B338" s="296"/>
      <c r="C338" s="296"/>
      <c r="D338" s="296"/>
      <c r="E338" s="296"/>
      <c r="F338" s="296"/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1"/>
    </row>
    <row r="339" spans="1:23">
      <c r="A339" s="295"/>
      <c r="B339" s="296"/>
      <c r="C339" s="296"/>
      <c r="D339" s="296"/>
      <c r="E339" s="296"/>
      <c r="F339" s="296"/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1"/>
    </row>
    <row r="340" spans="1:23">
      <c r="A340" s="295"/>
      <c r="B340" s="296"/>
      <c r="C340" s="296"/>
      <c r="D340" s="296"/>
      <c r="E340" s="296"/>
      <c r="F340" s="296"/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1"/>
    </row>
    <row r="341" spans="1:23">
      <c r="A341" s="295"/>
      <c r="B341" s="296"/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1"/>
    </row>
    <row r="342" spans="1:23">
      <c r="A342" s="295"/>
      <c r="B342" s="296"/>
      <c r="C342" s="296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1"/>
    </row>
    <row r="343" spans="1:23">
      <c r="A343" s="295"/>
      <c r="B343" s="296"/>
      <c r="C343" s="296"/>
      <c r="D343" s="296"/>
      <c r="E343" s="296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1"/>
    </row>
    <row r="344" spans="1:23">
      <c r="A344" s="295"/>
      <c r="B344" s="296"/>
      <c r="C344" s="296"/>
      <c r="D344" s="296"/>
      <c r="E344" s="296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1"/>
    </row>
    <row r="345" spans="1:23">
      <c r="A345" s="295"/>
      <c r="B345" s="296"/>
      <c r="C345" s="296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1"/>
    </row>
    <row r="346" spans="1:23">
      <c r="A346" s="295"/>
      <c r="B346" s="296"/>
      <c r="C346" s="296"/>
      <c r="D346" s="296"/>
      <c r="E346" s="296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1"/>
    </row>
    <row r="347" spans="1:23">
      <c r="A347" s="295"/>
      <c r="B347" s="296"/>
      <c r="C347" s="296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1"/>
    </row>
    <row r="348" spans="1:23">
      <c r="A348" s="295"/>
      <c r="B348" s="296"/>
      <c r="C348" s="296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1"/>
    </row>
    <row r="349" spans="1:23">
      <c r="A349" s="295"/>
      <c r="B349" s="296"/>
      <c r="C349" s="296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1"/>
    </row>
    <row r="350" spans="1:23">
      <c r="A350" s="295"/>
      <c r="B350" s="296"/>
      <c r="C350" s="296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1"/>
    </row>
    <row r="351" spans="1:23">
      <c r="A351" s="295"/>
      <c r="B351" s="296"/>
      <c r="C351" s="296"/>
      <c r="D351" s="296"/>
      <c r="E351" s="296"/>
      <c r="F351" s="296"/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1"/>
    </row>
    <row r="352" spans="1:23">
      <c r="A352" s="295"/>
      <c r="B352" s="296"/>
      <c r="C352" s="296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1"/>
    </row>
    <row r="353" spans="1:23">
      <c r="A353" s="295"/>
      <c r="B353" s="296"/>
      <c r="C353" s="296"/>
      <c r="D353" s="296"/>
      <c r="E353" s="296"/>
      <c r="F353" s="296"/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1"/>
    </row>
    <row r="354" spans="1:23">
      <c r="A354" s="295"/>
      <c r="B354" s="296"/>
      <c r="C354" s="296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1"/>
    </row>
    <row r="355" spans="1:23">
      <c r="A355" s="295"/>
      <c r="B355" s="296"/>
      <c r="C355" s="296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1"/>
    </row>
    <row r="356" spans="1:23">
      <c r="A356" s="295"/>
      <c r="B356" s="296"/>
      <c r="C356" s="296"/>
      <c r="D356" s="296"/>
      <c r="E356" s="296"/>
      <c r="F356" s="296"/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1"/>
    </row>
    <row r="357" spans="1:23">
      <c r="A357" s="295"/>
      <c r="B357" s="296"/>
      <c r="C357" s="296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1"/>
    </row>
    <row r="358" spans="1:23">
      <c r="A358" s="295"/>
      <c r="B358" s="296"/>
      <c r="C358" s="296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1"/>
    </row>
    <row r="359" spans="1:23">
      <c r="A359" s="295"/>
      <c r="B359" s="296"/>
      <c r="C359" s="296"/>
      <c r="D359" s="296"/>
      <c r="E359" s="296"/>
      <c r="F359" s="296"/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1"/>
    </row>
  </sheetData>
  <mergeCells count="332">
    <mergeCell ref="A339:V339"/>
    <mergeCell ref="A340:V340"/>
    <mergeCell ref="A324:V324"/>
    <mergeCell ref="A327:V327"/>
    <mergeCell ref="A328:V328"/>
    <mergeCell ref="A329:V329"/>
    <mergeCell ref="A330:V330"/>
    <mergeCell ref="A331:V331"/>
    <mergeCell ref="A332:V332"/>
    <mergeCell ref="A333:V333"/>
    <mergeCell ref="A325:V325"/>
    <mergeCell ref="A326:V326"/>
    <mergeCell ref="A341:V341"/>
    <mergeCell ref="A342:V342"/>
    <mergeCell ref="A334:V334"/>
    <mergeCell ref="A335:V335"/>
    <mergeCell ref="A336:V336"/>
    <mergeCell ref="A337:V337"/>
    <mergeCell ref="A357:V357"/>
    <mergeCell ref="A358:V358"/>
    <mergeCell ref="A359:V359"/>
    <mergeCell ref="A343:V343"/>
    <mergeCell ref="A344:V344"/>
    <mergeCell ref="A345:V345"/>
    <mergeCell ref="A346:V346"/>
    <mergeCell ref="A347:V347"/>
    <mergeCell ref="A348:V348"/>
    <mergeCell ref="A349:V349"/>
    <mergeCell ref="A350:V350"/>
    <mergeCell ref="A351:V351"/>
    <mergeCell ref="A356:V356"/>
    <mergeCell ref="A352:V352"/>
    <mergeCell ref="A353:V353"/>
    <mergeCell ref="A354:V354"/>
    <mergeCell ref="A355:V355"/>
    <mergeCell ref="A338:V338"/>
    <mergeCell ref="A320:V320"/>
    <mergeCell ref="A321:V321"/>
    <mergeCell ref="A322:V322"/>
    <mergeCell ref="A323:V323"/>
    <mergeCell ref="A306:V306"/>
    <mergeCell ref="A307:V307"/>
    <mergeCell ref="A308:V308"/>
    <mergeCell ref="A309:V309"/>
    <mergeCell ref="A310:V310"/>
    <mergeCell ref="A311:V311"/>
    <mergeCell ref="A312:V312"/>
    <mergeCell ref="A313:V313"/>
    <mergeCell ref="A314:V314"/>
    <mergeCell ref="A315:V315"/>
    <mergeCell ref="A316:V316"/>
    <mergeCell ref="A317:V317"/>
    <mergeCell ref="A318:V318"/>
    <mergeCell ref="A319:V319"/>
    <mergeCell ref="A299:V299"/>
    <mergeCell ref="A292:V292"/>
    <mergeCell ref="A293:V293"/>
    <mergeCell ref="A300:V300"/>
    <mergeCell ref="A301:V301"/>
    <mergeCell ref="A302:V302"/>
    <mergeCell ref="A303:V303"/>
    <mergeCell ref="A304:V304"/>
    <mergeCell ref="A305:V305"/>
    <mergeCell ref="A288:V288"/>
    <mergeCell ref="A289:V289"/>
    <mergeCell ref="A290:V290"/>
    <mergeCell ref="A291:V291"/>
    <mergeCell ref="A294:V294"/>
    <mergeCell ref="A295:V295"/>
    <mergeCell ref="A296:V296"/>
    <mergeCell ref="A297:V297"/>
    <mergeCell ref="A298:V298"/>
    <mergeCell ref="A279:V279"/>
    <mergeCell ref="A280:V280"/>
    <mergeCell ref="A281:V281"/>
    <mergeCell ref="A282:V282"/>
    <mergeCell ref="A283:V283"/>
    <mergeCell ref="A284:V284"/>
    <mergeCell ref="A285:V285"/>
    <mergeCell ref="A286:V286"/>
    <mergeCell ref="A287:V287"/>
    <mergeCell ref="A270:V270"/>
    <mergeCell ref="A271:V271"/>
    <mergeCell ref="A272:V272"/>
    <mergeCell ref="A273:V273"/>
    <mergeCell ref="A274:V274"/>
    <mergeCell ref="A275:V275"/>
    <mergeCell ref="A276:V276"/>
    <mergeCell ref="A277:V277"/>
    <mergeCell ref="A278:V278"/>
    <mergeCell ref="A261:V261"/>
    <mergeCell ref="A262:V262"/>
    <mergeCell ref="A263:V263"/>
    <mergeCell ref="A264:V264"/>
    <mergeCell ref="A265:V265"/>
    <mergeCell ref="A266:V266"/>
    <mergeCell ref="A267:V267"/>
    <mergeCell ref="A268:V268"/>
    <mergeCell ref="A269:V269"/>
    <mergeCell ref="A193:V193"/>
    <mergeCell ref="A194:V194"/>
    <mergeCell ref="A195:V195"/>
    <mergeCell ref="A197:V197"/>
    <mergeCell ref="A198:V198"/>
    <mergeCell ref="A199:V199"/>
    <mergeCell ref="A200:V200"/>
    <mergeCell ref="A259:V259"/>
    <mergeCell ref="A260:V260"/>
    <mergeCell ref="A189:V189"/>
    <mergeCell ref="A190:V190"/>
    <mergeCell ref="A196:V196"/>
    <mergeCell ref="A169:V169"/>
    <mergeCell ref="A179:V179"/>
    <mergeCell ref="A185:V185"/>
    <mergeCell ref="A186:V186"/>
    <mergeCell ref="A187:V187"/>
    <mergeCell ref="A170:V170"/>
    <mergeCell ref="A171:V171"/>
    <mergeCell ref="A172:V172"/>
    <mergeCell ref="A173:V173"/>
    <mergeCell ref="A174:V174"/>
    <mergeCell ref="A175:V175"/>
    <mergeCell ref="A176:V176"/>
    <mergeCell ref="A177:V177"/>
    <mergeCell ref="A178:V178"/>
    <mergeCell ref="A180:V180"/>
    <mergeCell ref="A181:V181"/>
    <mergeCell ref="A182:V182"/>
    <mergeCell ref="A183:V183"/>
    <mergeCell ref="A184:V184"/>
    <mergeCell ref="A191:V191"/>
    <mergeCell ref="A192:V192"/>
    <mergeCell ref="A161:V161"/>
    <mergeCell ref="A162:V162"/>
    <mergeCell ref="A163:V163"/>
    <mergeCell ref="A164:V164"/>
    <mergeCell ref="A165:V165"/>
    <mergeCell ref="A166:V166"/>
    <mergeCell ref="A167:V167"/>
    <mergeCell ref="A168:V168"/>
    <mergeCell ref="A188:V188"/>
    <mergeCell ref="A145:V145"/>
    <mergeCell ref="A147:V147"/>
    <mergeCell ref="A148:V148"/>
    <mergeCell ref="A149:V149"/>
    <mergeCell ref="A150:V150"/>
    <mergeCell ref="A151:V151"/>
    <mergeCell ref="A158:V158"/>
    <mergeCell ref="A159:V159"/>
    <mergeCell ref="A160:V160"/>
    <mergeCell ref="A154:V154"/>
    <mergeCell ref="A155:V155"/>
    <mergeCell ref="A156:V156"/>
    <mergeCell ref="A157:V157"/>
    <mergeCell ref="A146:V146"/>
    <mergeCell ref="A152:V152"/>
    <mergeCell ref="A153:V153"/>
    <mergeCell ref="A143:V143"/>
    <mergeCell ref="A144:V144"/>
    <mergeCell ref="B91:E91"/>
    <mergeCell ref="A101:E101"/>
    <mergeCell ref="B102:E102"/>
    <mergeCell ref="B103:E103"/>
    <mergeCell ref="B104:E104"/>
    <mergeCell ref="A113:B113"/>
    <mergeCell ref="A114:B114"/>
    <mergeCell ref="A115:B115"/>
    <mergeCell ref="B105:E105"/>
    <mergeCell ref="B106:E106"/>
    <mergeCell ref="B107:E107"/>
    <mergeCell ref="B108:E108"/>
    <mergeCell ref="A109:E109"/>
    <mergeCell ref="B110:E110"/>
    <mergeCell ref="B111:E111"/>
    <mergeCell ref="B112:E112"/>
    <mergeCell ref="A126:P126"/>
    <mergeCell ref="A127:P127"/>
    <mergeCell ref="A128:P128"/>
    <mergeCell ref="A129:P129"/>
    <mergeCell ref="A138:V138"/>
    <mergeCell ref="A139:V139"/>
    <mergeCell ref="A140:V140"/>
    <mergeCell ref="A141:V141"/>
    <mergeCell ref="A142:V142"/>
    <mergeCell ref="A135:V135"/>
    <mergeCell ref="A136:V136"/>
    <mergeCell ref="B116:E116"/>
    <mergeCell ref="A117:E117"/>
    <mergeCell ref="B118:E118"/>
    <mergeCell ref="A119:B119"/>
    <mergeCell ref="C119:E119"/>
    <mergeCell ref="B120:E120"/>
    <mergeCell ref="B89:E89"/>
    <mergeCell ref="D90:E90"/>
    <mergeCell ref="A137:V137"/>
    <mergeCell ref="C113:E113"/>
    <mergeCell ref="C114:E114"/>
    <mergeCell ref="C115:E115"/>
    <mergeCell ref="B96:E96"/>
    <mergeCell ref="D97:E97"/>
    <mergeCell ref="B98:E98"/>
    <mergeCell ref="D99:E99"/>
    <mergeCell ref="B92:E92"/>
    <mergeCell ref="D93:E93"/>
    <mergeCell ref="B94:E94"/>
    <mergeCell ref="D95:E95"/>
    <mergeCell ref="A121:E121"/>
    <mergeCell ref="B122:E122"/>
    <mergeCell ref="B123:E123"/>
    <mergeCell ref="B124:E124"/>
    <mergeCell ref="A7:C7"/>
    <mergeCell ref="D7:E7"/>
    <mergeCell ref="D8:E8"/>
    <mergeCell ref="B9:E9"/>
    <mergeCell ref="A10:E10"/>
    <mergeCell ref="A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E17"/>
    <mergeCell ref="B71:E71"/>
    <mergeCell ref="J10:P10"/>
    <mergeCell ref="B11:C11"/>
    <mergeCell ref="D11:E11"/>
    <mergeCell ref="B12:C12"/>
    <mergeCell ref="D12:E12"/>
    <mergeCell ref="B13:C13"/>
    <mergeCell ref="D13:E13"/>
    <mergeCell ref="A34:E34"/>
    <mergeCell ref="A35:E35"/>
    <mergeCell ref="J25:J26"/>
    <mergeCell ref="L25:L26"/>
    <mergeCell ref="O25:O26"/>
    <mergeCell ref="P25:P26"/>
    <mergeCell ref="D21:E21"/>
    <mergeCell ref="B22:E22"/>
    <mergeCell ref="C23:E23"/>
    <mergeCell ref="J23:P23"/>
    <mergeCell ref="A25:A26"/>
    <mergeCell ref="B25:D26"/>
    <mergeCell ref="F25:F26"/>
    <mergeCell ref="G25:G26"/>
    <mergeCell ref="H25:H26"/>
    <mergeCell ref="I25:I26"/>
    <mergeCell ref="B72:E72"/>
    <mergeCell ref="B73:E73"/>
    <mergeCell ref="B76:E76"/>
    <mergeCell ref="B77:E77"/>
    <mergeCell ref="B78:E78"/>
    <mergeCell ref="B88:E88"/>
    <mergeCell ref="B86:E86"/>
    <mergeCell ref="D87:E87"/>
    <mergeCell ref="B79:E79"/>
    <mergeCell ref="B80:E80"/>
    <mergeCell ref="B81:C81"/>
    <mergeCell ref="B82:C82"/>
    <mergeCell ref="B84:C84"/>
    <mergeCell ref="B85:C85"/>
    <mergeCell ref="D81:E81"/>
    <mergeCell ref="B83:E83"/>
    <mergeCell ref="D84:E84"/>
    <mergeCell ref="B58:E58"/>
    <mergeCell ref="B59:E59"/>
    <mergeCell ref="A70:E70"/>
    <mergeCell ref="B60:E60"/>
    <mergeCell ref="B62:E62"/>
    <mergeCell ref="B61:E61"/>
    <mergeCell ref="B63:E63"/>
    <mergeCell ref="B64:E64"/>
    <mergeCell ref="C65:E65"/>
    <mergeCell ref="B66:E66"/>
    <mergeCell ref="C67:E67"/>
    <mergeCell ref="A68:E68"/>
    <mergeCell ref="A69:E69"/>
    <mergeCell ref="A57:E57"/>
    <mergeCell ref="K25:K26"/>
    <mergeCell ref="C36:E36"/>
    <mergeCell ref="B27:C27"/>
    <mergeCell ref="D27:E27"/>
    <mergeCell ref="B28:C28"/>
    <mergeCell ref="D28:E28"/>
    <mergeCell ref="B29:D29"/>
    <mergeCell ref="B33:E33"/>
    <mergeCell ref="C30:E30"/>
    <mergeCell ref="B31:D31"/>
    <mergeCell ref="B32:D32"/>
    <mergeCell ref="A40:B40"/>
    <mergeCell ref="C40:E40"/>
    <mergeCell ref="A37:B37"/>
    <mergeCell ref="A38:B38"/>
    <mergeCell ref="C38:E38"/>
    <mergeCell ref="A39:B39"/>
    <mergeCell ref="C39:D39"/>
    <mergeCell ref="C37:D37"/>
    <mergeCell ref="A36:B36"/>
    <mergeCell ref="A41:B41"/>
    <mergeCell ref="A42:B42"/>
    <mergeCell ref="C42:E42"/>
    <mergeCell ref="A56:E56"/>
    <mergeCell ref="A52:E52"/>
    <mergeCell ref="C48:D48"/>
    <mergeCell ref="C41:D41"/>
    <mergeCell ref="A43:B43"/>
    <mergeCell ref="C43:D43"/>
    <mergeCell ref="A44:D44"/>
    <mergeCell ref="A46:C46"/>
    <mergeCell ref="D46:E46"/>
    <mergeCell ref="B45:E45"/>
    <mergeCell ref="C47:E47"/>
    <mergeCell ref="C49:D49"/>
    <mergeCell ref="C50:D50"/>
    <mergeCell ref="Q25:Q26"/>
    <mergeCell ref="N25:N26"/>
    <mergeCell ref="X25:X26"/>
    <mergeCell ref="Y25:Y26"/>
    <mergeCell ref="Z25:Z26"/>
    <mergeCell ref="AA25:AA26"/>
    <mergeCell ref="A53:E53"/>
    <mergeCell ref="A54:E54"/>
    <mergeCell ref="A55:E55"/>
    <mergeCell ref="M25:M26"/>
    <mergeCell ref="S25:S26"/>
    <mergeCell ref="U25:U26"/>
    <mergeCell ref="V25:V26"/>
    <mergeCell ref="W25:W26"/>
    <mergeCell ref="R25:R26"/>
    <mergeCell ref="T25:T26"/>
  </mergeCells>
  <printOptions horizontalCentered="1"/>
  <pageMargins left="0" right="0" top="0.39370078740157483" bottom="0.39370078740157483" header="0.11811023622047245" footer="0.11811023622047245"/>
  <pageSetup paperSize="9" scale="70" firstPageNumber="6" orientation="landscape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2"/>
  <sheetViews>
    <sheetView tabSelected="1" zoomScaleNormal="100" workbookViewId="0">
      <pane xSplit="1" ySplit="12" topLeftCell="B133" activePane="bottomRight" state="frozen"/>
      <selection pane="topRight" activeCell="B1" sqref="B1"/>
      <selection pane="bottomLeft" activeCell="A13" sqref="A13"/>
      <selection pane="bottomRight" activeCell="L1" sqref="L1:O1048576"/>
    </sheetView>
  </sheetViews>
  <sheetFormatPr defaultRowHeight="15"/>
  <cols>
    <col min="2" max="2" width="80" customWidth="1"/>
    <col min="3" max="3" width="15.5703125" customWidth="1"/>
    <col min="4" max="5" width="5.28515625" customWidth="1"/>
    <col min="6" max="6" width="11.85546875" customWidth="1"/>
    <col min="7" max="7" width="11" style="232" hidden="1" customWidth="1"/>
    <col min="8" max="8" width="11.85546875" customWidth="1"/>
    <col min="9" max="9" width="10" customWidth="1"/>
    <col min="10" max="10" width="9" customWidth="1"/>
    <col min="11" max="11" width="12.85546875" customWidth="1"/>
    <col min="12" max="15" width="0" hidden="1" customWidth="1"/>
  </cols>
  <sheetData>
    <row r="1" spans="1:11">
      <c r="B1" s="248"/>
      <c r="C1" s="199"/>
      <c r="D1" s="199"/>
      <c r="E1" s="199"/>
      <c r="F1" s="199"/>
      <c r="G1" s="199"/>
      <c r="H1" s="201" t="s">
        <v>218</v>
      </c>
      <c r="I1" s="145"/>
      <c r="J1" s="145"/>
      <c r="K1" s="183"/>
    </row>
    <row r="2" spans="1:11">
      <c r="B2" s="200"/>
      <c r="C2" s="199"/>
      <c r="D2" s="199"/>
      <c r="E2" s="199"/>
      <c r="F2" s="199"/>
      <c r="G2" s="199"/>
      <c r="H2" s="140" t="s">
        <v>619</v>
      </c>
      <c r="I2" s="199"/>
      <c r="J2" s="145"/>
      <c r="K2" s="199"/>
    </row>
    <row r="3" spans="1:11">
      <c r="B3" s="200"/>
      <c r="C3" s="199"/>
      <c r="D3" s="199"/>
      <c r="E3" s="199"/>
      <c r="F3" s="199"/>
      <c r="G3" s="199"/>
      <c r="H3" s="140" t="s">
        <v>219</v>
      </c>
      <c r="I3" s="199"/>
      <c r="J3" s="145"/>
      <c r="K3" s="199"/>
    </row>
    <row r="4" spans="1:11">
      <c r="B4" s="200"/>
      <c r="D4" s="199"/>
      <c r="E4" s="199"/>
      <c r="F4" s="199"/>
      <c r="G4" s="199"/>
      <c r="H4" s="140" t="s">
        <v>620</v>
      </c>
      <c r="I4" s="199"/>
      <c r="J4" s="145"/>
      <c r="K4" s="199"/>
    </row>
    <row r="5" spans="1:11">
      <c r="B5" s="200" t="s">
        <v>220</v>
      </c>
      <c r="D5" s="245"/>
      <c r="E5" s="245"/>
      <c r="F5" s="245"/>
      <c r="G5" s="245"/>
      <c r="H5" s="140"/>
      <c r="I5" s="245"/>
      <c r="J5" s="145"/>
      <c r="K5" s="245"/>
    </row>
    <row r="6" spans="1:11" ht="11.25" customHeight="1">
      <c r="A6" s="199"/>
      <c r="B6" s="199"/>
      <c r="C6" s="199"/>
      <c r="D6" s="199"/>
      <c r="E6" s="199"/>
      <c r="F6" s="199"/>
      <c r="G6" s="34"/>
      <c r="H6" s="199"/>
      <c r="I6" s="199"/>
      <c r="J6" s="199"/>
      <c r="K6" s="199" t="s">
        <v>111</v>
      </c>
    </row>
    <row r="7" spans="1:11" ht="15" customHeight="1">
      <c r="A7" s="348" t="s">
        <v>221</v>
      </c>
      <c r="B7" s="348" t="s">
        <v>222</v>
      </c>
      <c r="C7" s="345" t="s">
        <v>223</v>
      </c>
      <c r="D7" s="353" t="s">
        <v>224</v>
      </c>
      <c r="E7" s="354"/>
      <c r="F7" s="202"/>
      <c r="G7" s="203"/>
      <c r="H7" s="353" t="s">
        <v>225</v>
      </c>
      <c r="I7" s="357"/>
      <c r="J7" s="354"/>
      <c r="K7" s="345" t="s">
        <v>226</v>
      </c>
    </row>
    <row r="8" spans="1:11" ht="45">
      <c r="A8" s="348"/>
      <c r="B8" s="348"/>
      <c r="C8" s="346"/>
      <c r="D8" s="355"/>
      <c r="E8" s="356"/>
      <c r="F8" s="204" t="s">
        <v>227</v>
      </c>
      <c r="G8" s="205" t="s">
        <v>228</v>
      </c>
      <c r="H8" s="355"/>
      <c r="I8" s="358"/>
      <c r="J8" s="356"/>
      <c r="K8" s="346"/>
    </row>
    <row r="9" spans="1:11">
      <c r="A9" s="348"/>
      <c r="B9" s="348"/>
      <c r="C9" s="346"/>
      <c r="D9" s="348" t="s">
        <v>229</v>
      </c>
      <c r="E9" s="348" t="s">
        <v>230</v>
      </c>
      <c r="F9" s="206"/>
      <c r="G9" s="207"/>
      <c r="H9" s="348" t="s">
        <v>231</v>
      </c>
      <c r="I9" s="348" t="s">
        <v>232</v>
      </c>
      <c r="J9" s="345" t="s">
        <v>233</v>
      </c>
      <c r="K9" s="346"/>
    </row>
    <row r="10" spans="1:11">
      <c r="A10" s="348"/>
      <c r="B10" s="348"/>
      <c r="C10" s="347"/>
      <c r="D10" s="348"/>
      <c r="E10" s="348"/>
      <c r="F10" s="208"/>
      <c r="G10" s="209"/>
      <c r="H10" s="348"/>
      <c r="I10" s="348"/>
      <c r="J10" s="347"/>
      <c r="K10" s="347"/>
    </row>
    <row r="11" spans="1:11">
      <c r="A11" s="210">
        <v>1</v>
      </c>
      <c r="B11" s="210">
        <v>2</v>
      </c>
      <c r="C11" s="210">
        <v>3</v>
      </c>
      <c r="D11" s="210">
        <v>4</v>
      </c>
      <c r="E11" s="210">
        <v>5</v>
      </c>
      <c r="F11" s="211">
        <v>6</v>
      </c>
      <c r="G11" s="211"/>
      <c r="H11" s="211">
        <v>7</v>
      </c>
      <c r="I11" s="211">
        <v>8</v>
      </c>
      <c r="J11" s="212">
        <v>9</v>
      </c>
      <c r="K11" s="212">
        <v>10</v>
      </c>
    </row>
    <row r="12" spans="1:11" s="213" customFormat="1">
      <c r="A12" s="197" t="s">
        <v>234</v>
      </c>
      <c r="B12" s="260" t="s">
        <v>235</v>
      </c>
      <c r="C12" s="260"/>
      <c r="D12" s="260"/>
      <c r="E12" s="260"/>
      <c r="F12" s="64">
        <f t="shared" ref="F12:K12" si="0">F13+F14</f>
        <v>233483830.84</v>
      </c>
      <c r="G12" s="66">
        <f t="shared" si="0"/>
        <v>79624418.840000004</v>
      </c>
      <c r="H12" s="64">
        <f t="shared" si="0"/>
        <v>109312965</v>
      </c>
      <c r="I12" s="64">
        <f t="shared" si="0"/>
        <v>41608619</v>
      </c>
      <c r="J12" s="64">
        <f t="shared" si="0"/>
        <v>2937828</v>
      </c>
      <c r="K12" s="64">
        <f t="shared" si="0"/>
        <v>93253681</v>
      </c>
    </row>
    <row r="13" spans="1:11" s="213" customFormat="1">
      <c r="A13" s="198" t="s">
        <v>236</v>
      </c>
      <c r="B13" s="276" t="s">
        <v>237</v>
      </c>
      <c r="C13" s="276"/>
      <c r="D13" s="276"/>
      <c r="E13" s="276"/>
      <c r="F13" s="214">
        <f>F16</f>
        <v>17748694</v>
      </c>
      <c r="G13" s="215">
        <f t="shared" ref="G13:K13" si="1">G16</f>
        <v>4883690</v>
      </c>
      <c r="H13" s="214">
        <f>H16</f>
        <v>9294009</v>
      </c>
      <c r="I13" s="214">
        <f>I16</f>
        <v>3261545</v>
      </c>
      <c r="J13" s="214">
        <f>J16</f>
        <v>309450</v>
      </c>
      <c r="K13" s="214">
        <f t="shared" si="1"/>
        <v>7876124</v>
      </c>
    </row>
    <row r="14" spans="1:11" s="213" customFormat="1">
      <c r="A14" s="198" t="s">
        <v>238</v>
      </c>
      <c r="B14" s="276" t="s">
        <v>239</v>
      </c>
      <c r="C14" s="276"/>
      <c r="D14" s="276"/>
      <c r="E14" s="276"/>
      <c r="F14" s="214">
        <f t="shared" ref="F14:K14" si="2">F147+F107</f>
        <v>215735136.84</v>
      </c>
      <c r="G14" s="214">
        <f t="shared" si="2"/>
        <v>74740728.840000004</v>
      </c>
      <c r="H14" s="214">
        <f t="shared" si="2"/>
        <v>100018956</v>
      </c>
      <c r="I14" s="214">
        <f t="shared" si="2"/>
        <v>38347074</v>
      </c>
      <c r="J14" s="214">
        <f t="shared" si="2"/>
        <v>2628378</v>
      </c>
      <c r="K14" s="214">
        <f t="shared" si="2"/>
        <v>85377557</v>
      </c>
    </row>
    <row r="15" spans="1:11" s="213" customFormat="1" ht="31.5" customHeight="1">
      <c r="A15" s="216" t="s">
        <v>1</v>
      </c>
      <c r="B15" s="350" t="s">
        <v>565</v>
      </c>
      <c r="C15" s="351"/>
      <c r="D15" s="351"/>
      <c r="E15" s="352"/>
      <c r="F15" s="217">
        <f t="shared" ref="F15:K15" si="3">F16+F107</f>
        <v>108169022</v>
      </c>
      <c r="G15" s="217">
        <f t="shared" si="3"/>
        <v>6797258</v>
      </c>
      <c r="H15" s="217">
        <f t="shared" si="3"/>
        <v>64018617</v>
      </c>
      <c r="I15" s="217">
        <f t="shared" si="3"/>
        <v>34415319</v>
      </c>
      <c r="J15" s="217">
        <f t="shared" si="3"/>
        <v>2937828</v>
      </c>
      <c r="K15" s="217">
        <f t="shared" si="3"/>
        <v>77209330</v>
      </c>
    </row>
    <row r="16" spans="1:11" s="218" customFormat="1">
      <c r="A16" s="216" t="s">
        <v>3</v>
      </c>
      <c r="B16" s="349" t="s">
        <v>237</v>
      </c>
      <c r="C16" s="349"/>
      <c r="D16" s="349"/>
      <c r="E16" s="349"/>
      <c r="F16" s="226">
        <f t="shared" ref="F16:K16" si="4">SUM(F17:F106)</f>
        <v>17748694</v>
      </c>
      <c r="G16" s="226">
        <f t="shared" si="4"/>
        <v>4883690</v>
      </c>
      <c r="H16" s="226">
        <f t="shared" si="4"/>
        <v>9294009</v>
      </c>
      <c r="I16" s="226">
        <f t="shared" si="4"/>
        <v>3261545</v>
      </c>
      <c r="J16" s="226">
        <f t="shared" si="4"/>
        <v>309450</v>
      </c>
      <c r="K16" s="226">
        <f t="shared" si="4"/>
        <v>7876124</v>
      </c>
    </row>
    <row r="17" spans="1:11" s="223" customFormat="1" ht="17.25" customHeight="1">
      <c r="A17" s="307" t="s">
        <v>549</v>
      </c>
      <c r="B17" s="222" t="s">
        <v>563</v>
      </c>
      <c r="C17" s="309" t="s">
        <v>243</v>
      </c>
      <c r="D17" s="285">
        <v>2017</v>
      </c>
      <c r="E17" s="285">
        <v>2019</v>
      </c>
      <c r="F17" s="302">
        <f>G17+H17+I17+J17</f>
        <v>209199</v>
      </c>
      <c r="G17" s="317">
        <f>0+22200+13400-1060+169659-11395</f>
        <v>192804</v>
      </c>
      <c r="H17" s="302">
        <f>5000+11395</f>
        <v>16395</v>
      </c>
      <c r="I17" s="302">
        <v>0</v>
      </c>
      <c r="J17" s="302">
        <v>0</v>
      </c>
      <c r="K17" s="302">
        <v>0</v>
      </c>
    </row>
    <row r="18" spans="1:11" s="223" customFormat="1" ht="45" customHeight="1">
      <c r="A18" s="308"/>
      <c r="B18" s="221" t="s">
        <v>244</v>
      </c>
      <c r="C18" s="310"/>
      <c r="D18" s="304"/>
      <c r="E18" s="304"/>
      <c r="F18" s="303"/>
      <c r="G18" s="304"/>
      <c r="H18" s="303"/>
      <c r="I18" s="303"/>
      <c r="J18" s="303"/>
      <c r="K18" s="303"/>
    </row>
    <row r="19" spans="1:11" s="223" customFormat="1" ht="24" customHeight="1">
      <c r="A19" s="307" t="s">
        <v>547</v>
      </c>
      <c r="B19" s="222" t="s">
        <v>246</v>
      </c>
      <c r="C19" s="309" t="s">
        <v>247</v>
      </c>
      <c r="D19" s="285">
        <v>2017</v>
      </c>
      <c r="E19" s="285">
        <v>2019</v>
      </c>
      <c r="F19" s="302">
        <f t="shared" ref="F19" si="5">G19+H19+I19+J19</f>
        <v>50824</v>
      </c>
      <c r="G19" s="317">
        <f>7998+32926-5453</f>
        <v>35471</v>
      </c>
      <c r="H19" s="302">
        <f>9900+5453</f>
        <v>15353</v>
      </c>
      <c r="I19" s="302">
        <v>0</v>
      </c>
      <c r="J19" s="302">
        <v>0</v>
      </c>
      <c r="K19" s="302">
        <v>0</v>
      </c>
    </row>
    <row r="20" spans="1:11" s="223" customFormat="1" ht="39.75" customHeight="1">
      <c r="A20" s="308"/>
      <c r="B20" s="221" t="s">
        <v>248</v>
      </c>
      <c r="C20" s="310"/>
      <c r="D20" s="304"/>
      <c r="E20" s="304"/>
      <c r="F20" s="303"/>
      <c r="G20" s="304"/>
      <c r="H20" s="303"/>
      <c r="I20" s="303"/>
      <c r="J20" s="303"/>
      <c r="K20" s="303"/>
    </row>
    <row r="21" spans="1:11" s="220" customFormat="1" ht="18" customHeight="1">
      <c r="A21" s="307" t="s">
        <v>548</v>
      </c>
      <c r="B21" s="219" t="s">
        <v>305</v>
      </c>
      <c r="C21" s="309" t="s">
        <v>269</v>
      </c>
      <c r="D21" s="305">
        <v>2018</v>
      </c>
      <c r="E21" s="305">
        <v>2019</v>
      </c>
      <c r="F21" s="302">
        <f t="shared" ref="F21" si="6">G21+H21+I21+J21</f>
        <v>132729</v>
      </c>
      <c r="G21" s="315">
        <f>0+37393-1711</f>
        <v>35682</v>
      </c>
      <c r="H21" s="315">
        <f>93247+2089+1711</f>
        <v>97047</v>
      </c>
      <c r="I21" s="315">
        <v>0</v>
      </c>
      <c r="J21" s="315">
        <v>0</v>
      </c>
      <c r="K21" s="315">
        <v>0</v>
      </c>
    </row>
    <row r="22" spans="1:11" s="220" customFormat="1" ht="28.5" customHeight="1">
      <c r="A22" s="308"/>
      <c r="B22" s="221" t="s">
        <v>306</v>
      </c>
      <c r="C22" s="310"/>
      <c r="D22" s="306"/>
      <c r="E22" s="306"/>
      <c r="F22" s="303"/>
      <c r="G22" s="316"/>
      <c r="H22" s="316"/>
      <c r="I22" s="316"/>
      <c r="J22" s="316"/>
      <c r="K22" s="316"/>
    </row>
    <row r="23" spans="1:11" s="220" customFormat="1" ht="15.75" customHeight="1">
      <c r="A23" s="307" t="s">
        <v>242</v>
      </c>
      <c r="B23" s="219" t="s">
        <v>308</v>
      </c>
      <c r="C23" s="309" t="s">
        <v>269</v>
      </c>
      <c r="D23" s="305">
        <v>2018</v>
      </c>
      <c r="E23" s="305">
        <v>2019</v>
      </c>
      <c r="F23" s="302">
        <f t="shared" ref="F23" si="7">G23+H23+I23+J23</f>
        <v>330419</v>
      </c>
      <c r="G23" s="315">
        <f>0+21338-26</f>
        <v>21312</v>
      </c>
      <c r="H23" s="315">
        <f>239486+62689+6932</f>
        <v>309107</v>
      </c>
      <c r="I23" s="315">
        <v>0</v>
      </c>
      <c r="J23" s="315">
        <v>0</v>
      </c>
      <c r="K23" s="315">
        <v>0</v>
      </c>
    </row>
    <row r="24" spans="1:11" s="220" customFormat="1" ht="29.25" customHeight="1">
      <c r="A24" s="308"/>
      <c r="B24" s="221" t="s">
        <v>309</v>
      </c>
      <c r="C24" s="310"/>
      <c r="D24" s="306"/>
      <c r="E24" s="306"/>
      <c r="F24" s="303"/>
      <c r="G24" s="316"/>
      <c r="H24" s="316"/>
      <c r="I24" s="316"/>
      <c r="J24" s="316"/>
      <c r="K24" s="316"/>
    </row>
    <row r="25" spans="1:11" s="220" customFormat="1" ht="21" customHeight="1">
      <c r="A25" s="307" t="s">
        <v>245</v>
      </c>
      <c r="B25" s="219" t="s">
        <v>301</v>
      </c>
      <c r="C25" s="309" t="s">
        <v>302</v>
      </c>
      <c r="D25" s="305">
        <v>2018</v>
      </c>
      <c r="E25" s="305">
        <v>2019</v>
      </c>
      <c r="F25" s="302">
        <f t="shared" ref="F25" si="8">G25+H25+I25+J25</f>
        <v>147192</v>
      </c>
      <c r="G25" s="315">
        <f>0+134055-76</f>
        <v>133979</v>
      </c>
      <c r="H25" s="315">
        <f>10072+3065+76</f>
        <v>13213</v>
      </c>
      <c r="I25" s="315">
        <v>0</v>
      </c>
      <c r="J25" s="315">
        <v>0</v>
      </c>
      <c r="K25" s="315">
        <v>0</v>
      </c>
    </row>
    <row r="26" spans="1:11" s="220" customFormat="1" ht="30.75" customHeight="1">
      <c r="A26" s="308"/>
      <c r="B26" s="221" t="s">
        <v>303</v>
      </c>
      <c r="C26" s="310"/>
      <c r="D26" s="306"/>
      <c r="E26" s="306"/>
      <c r="F26" s="303"/>
      <c r="G26" s="316"/>
      <c r="H26" s="316"/>
      <c r="I26" s="316"/>
      <c r="J26" s="316"/>
      <c r="K26" s="316"/>
    </row>
    <row r="27" spans="1:11" s="220" customFormat="1" ht="15" customHeight="1">
      <c r="A27" s="307" t="s">
        <v>550</v>
      </c>
      <c r="B27" s="219" t="s">
        <v>501</v>
      </c>
      <c r="C27" s="309" t="s">
        <v>502</v>
      </c>
      <c r="D27" s="305">
        <v>2018</v>
      </c>
      <c r="E27" s="305">
        <v>2020</v>
      </c>
      <c r="F27" s="302">
        <f t="shared" ref="F27" si="9">G27+H27+I27+J27</f>
        <v>106930</v>
      </c>
      <c r="G27" s="315">
        <f>0+1795-2</f>
        <v>1793</v>
      </c>
      <c r="H27" s="315">
        <v>54006</v>
      </c>
      <c r="I27" s="315">
        <v>51131</v>
      </c>
      <c r="J27" s="315">
        <v>0</v>
      </c>
      <c r="K27" s="315">
        <v>105137</v>
      </c>
    </row>
    <row r="28" spans="1:11" s="220" customFormat="1" ht="38.25" customHeight="1">
      <c r="A28" s="308"/>
      <c r="B28" s="221" t="s">
        <v>508</v>
      </c>
      <c r="C28" s="310"/>
      <c r="D28" s="306"/>
      <c r="E28" s="306"/>
      <c r="F28" s="303"/>
      <c r="G28" s="316"/>
      <c r="H28" s="316"/>
      <c r="I28" s="316"/>
      <c r="J28" s="316"/>
      <c r="K28" s="316"/>
    </row>
    <row r="29" spans="1:11" s="220" customFormat="1" ht="18" customHeight="1">
      <c r="A29" s="307" t="s">
        <v>551</v>
      </c>
      <c r="B29" s="219" t="s">
        <v>521</v>
      </c>
      <c r="C29" s="309" t="s">
        <v>241</v>
      </c>
      <c r="D29" s="305">
        <v>2018</v>
      </c>
      <c r="E29" s="305">
        <v>2020</v>
      </c>
      <c r="F29" s="302">
        <f t="shared" ref="F29" si="10">G29+H29+I29+J29</f>
        <v>115136</v>
      </c>
      <c r="G29" s="315">
        <v>0</v>
      </c>
      <c r="H29" s="315">
        <v>100000</v>
      </c>
      <c r="I29" s="315">
        <v>15136</v>
      </c>
      <c r="J29" s="315">
        <v>0</v>
      </c>
      <c r="K29" s="315">
        <v>115136</v>
      </c>
    </row>
    <row r="30" spans="1:11" s="220" customFormat="1" ht="43.5" customHeight="1">
      <c r="A30" s="308"/>
      <c r="B30" s="221" t="s">
        <v>522</v>
      </c>
      <c r="C30" s="310"/>
      <c r="D30" s="306"/>
      <c r="E30" s="306"/>
      <c r="F30" s="303"/>
      <c r="G30" s="316"/>
      <c r="H30" s="316"/>
      <c r="I30" s="316"/>
      <c r="J30" s="316"/>
      <c r="K30" s="316"/>
    </row>
    <row r="31" spans="1:11" s="223" customFormat="1" ht="27.75" customHeight="1">
      <c r="A31" s="307" t="s">
        <v>249</v>
      </c>
      <c r="B31" s="222" t="s">
        <v>250</v>
      </c>
      <c r="C31" s="309" t="s">
        <v>251</v>
      </c>
      <c r="D31" s="285">
        <v>2017</v>
      </c>
      <c r="E31" s="285">
        <v>2019</v>
      </c>
      <c r="F31" s="302">
        <f t="shared" ref="F31" si="11">G31+H31+I31+J31</f>
        <v>643391</v>
      </c>
      <c r="G31" s="317">
        <f>10810+309838-1</f>
        <v>320647</v>
      </c>
      <c r="H31" s="302">
        <f>316509+190+6045</f>
        <v>322744</v>
      </c>
      <c r="I31" s="302">
        <v>0</v>
      </c>
      <c r="J31" s="302">
        <v>0</v>
      </c>
      <c r="K31" s="302">
        <v>0</v>
      </c>
    </row>
    <row r="32" spans="1:11" s="223" customFormat="1" ht="25.5" customHeight="1">
      <c r="A32" s="308"/>
      <c r="B32" s="221" t="s">
        <v>252</v>
      </c>
      <c r="C32" s="310"/>
      <c r="D32" s="304"/>
      <c r="E32" s="304"/>
      <c r="F32" s="303"/>
      <c r="G32" s="304"/>
      <c r="H32" s="303"/>
      <c r="I32" s="303"/>
      <c r="J32" s="303"/>
      <c r="K32" s="303"/>
    </row>
    <row r="33" spans="1:11" s="223" customFormat="1" ht="23.25" customHeight="1">
      <c r="A33" s="307" t="s">
        <v>253</v>
      </c>
      <c r="B33" s="222" t="s">
        <v>254</v>
      </c>
      <c r="C33" s="309" t="s">
        <v>240</v>
      </c>
      <c r="D33" s="285">
        <v>2017</v>
      </c>
      <c r="E33" s="285">
        <v>2019</v>
      </c>
      <c r="F33" s="302">
        <f t="shared" ref="F33" si="12">G33+H33+I33+J33</f>
        <v>360609</v>
      </c>
      <c r="G33" s="317">
        <f>0+247409-6150</f>
        <v>241259</v>
      </c>
      <c r="H33" s="302">
        <f>113200+6150</f>
        <v>119350</v>
      </c>
      <c r="I33" s="302">
        <v>0</v>
      </c>
      <c r="J33" s="302">
        <v>0</v>
      </c>
      <c r="K33" s="302">
        <v>0</v>
      </c>
    </row>
    <row r="34" spans="1:11" s="223" customFormat="1" ht="22.5" customHeight="1">
      <c r="A34" s="308"/>
      <c r="B34" s="221" t="s">
        <v>255</v>
      </c>
      <c r="C34" s="310"/>
      <c r="D34" s="304"/>
      <c r="E34" s="304"/>
      <c r="F34" s="303"/>
      <c r="G34" s="304"/>
      <c r="H34" s="303"/>
      <c r="I34" s="303"/>
      <c r="J34" s="303"/>
      <c r="K34" s="303"/>
    </row>
    <row r="35" spans="1:11" s="223" customFormat="1" ht="16.5" customHeight="1">
      <c r="A35" s="307" t="s">
        <v>256</v>
      </c>
      <c r="B35" s="222" t="s">
        <v>257</v>
      </c>
      <c r="C35" s="309" t="s">
        <v>258</v>
      </c>
      <c r="D35" s="285">
        <v>2017</v>
      </c>
      <c r="E35" s="285">
        <v>2019</v>
      </c>
      <c r="F35" s="302">
        <f t="shared" ref="F35" si="13">G35+H35+I35+J35</f>
        <v>118231</v>
      </c>
      <c r="G35" s="317">
        <f>0+2650-352+69609-3869</f>
        <v>68038</v>
      </c>
      <c r="H35" s="302">
        <f>46324+3869</f>
        <v>50193</v>
      </c>
      <c r="I35" s="302">
        <v>0</v>
      </c>
      <c r="J35" s="302">
        <v>0</v>
      </c>
      <c r="K35" s="302">
        <v>0</v>
      </c>
    </row>
    <row r="36" spans="1:11" s="223" customFormat="1" ht="32.25" customHeight="1">
      <c r="A36" s="308"/>
      <c r="B36" s="221" t="s">
        <v>259</v>
      </c>
      <c r="C36" s="310"/>
      <c r="D36" s="304"/>
      <c r="E36" s="304"/>
      <c r="F36" s="303"/>
      <c r="G36" s="304"/>
      <c r="H36" s="303"/>
      <c r="I36" s="303"/>
      <c r="J36" s="303"/>
      <c r="K36" s="303"/>
    </row>
    <row r="37" spans="1:11" s="220" customFormat="1" ht="19.5" customHeight="1">
      <c r="A37" s="307" t="s">
        <v>552</v>
      </c>
      <c r="B37" s="219" t="s">
        <v>518</v>
      </c>
      <c r="C37" s="309" t="s">
        <v>512</v>
      </c>
      <c r="D37" s="305">
        <v>2018</v>
      </c>
      <c r="E37" s="305">
        <v>2020</v>
      </c>
      <c r="F37" s="302">
        <f t="shared" ref="F37" si="14">G37+H37+I37+J37</f>
        <v>113790</v>
      </c>
      <c r="G37" s="315">
        <v>0</v>
      </c>
      <c r="H37" s="315">
        <v>92445</v>
      </c>
      <c r="I37" s="315">
        <v>21345</v>
      </c>
      <c r="J37" s="315">
        <v>0</v>
      </c>
      <c r="K37" s="315">
        <v>113790</v>
      </c>
    </row>
    <row r="38" spans="1:11" s="220" customFormat="1" ht="39.75" customHeight="1">
      <c r="A38" s="308"/>
      <c r="B38" s="221" t="s">
        <v>567</v>
      </c>
      <c r="C38" s="310"/>
      <c r="D38" s="306"/>
      <c r="E38" s="306"/>
      <c r="F38" s="303"/>
      <c r="G38" s="316"/>
      <c r="H38" s="316"/>
      <c r="I38" s="316"/>
      <c r="J38" s="316"/>
      <c r="K38" s="316"/>
    </row>
    <row r="39" spans="1:11" s="220" customFormat="1" ht="18.75" customHeight="1">
      <c r="A39" s="307" t="s">
        <v>261</v>
      </c>
      <c r="B39" s="219" t="s">
        <v>516</v>
      </c>
      <c r="C39" s="309" t="s">
        <v>511</v>
      </c>
      <c r="D39" s="305">
        <v>2018</v>
      </c>
      <c r="E39" s="305">
        <v>2020</v>
      </c>
      <c r="F39" s="302">
        <f t="shared" ref="F39" si="15">G39+H39+I39+J39</f>
        <v>318727</v>
      </c>
      <c r="G39" s="315">
        <f>0+76231-1</f>
        <v>76230</v>
      </c>
      <c r="H39" s="315">
        <f>242497-5500</f>
        <v>236997</v>
      </c>
      <c r="I39" s="315">
        <f>0+5500</f>
        <v>5500</v>
      </c>
      <c r="J39" s="315">
        <v>0</v>
      </c>
      <c r="K39" s="315">
        <v>242497</v>
      </c>
    </row>
    <row r="40" spans="1:11" s="220" customFormat="1" ht="38.25" customHeight="1">
      <c r="A40" s="308"/>
      <c r="B40" s="221" t="s">
        <v>517</v>
      </c>
      <c r="C40" s="310"/>
      <c r="D40" s="306"/>
      <c r="E40" s="306"/>
      <c r="F40" s="303"/>
      <c r="G40" s="316"/>
      <c r="H40" s="316"/>
      <c r="I40" s="316"/>
      <c r="J40" s="316"/>
      <c r="K40" s="316"/>
    </row>
    <row r="41" spans="1:11" s="220" customFormat="1" ht="33" customHeight="1">
      <c r="A41" s="307" t="s">
        <v>553</v>
      </c>
      <c r="B41" s="219" t="s">
        <v>504</v>
      </c>
      <c r="C41" s="309" t="s">
        <v>503</v>
      </c>
      <c r="D41" s="305">
        <v>2018</v>
      </c>
      <c r="E41" s="305">
        <v>2020</v>
      </c>
      <c r="F41" s="302">
        <f t="shared" ref="F41" si="16">G41+H41+I41+J41</f>
        <v>331491</v>
      </c>
      <c r="G41" s="315">
        <v>0</v>
      </c>
      <c r="H41" s="315">
        <v>300042</v>
      </c>
      <c r="I41" s="315">
        <v>31449</v>
      </c>
      <c r="J41" s="315">
        <v>0</v>
      </c>
      <c r="K41" s="315">
        <v>331491</v>
      </c>
    </row>
    <row r="42" spans="1:11" s="220" customFormat="1" ht="30.75" customHeight="1">
      <c r="A42" s="308"/>
      <c r="B42" s="221" t="s">
        <v>505</v>
      </c>
      <c r="C42" s="310"/>
      <c r="D42" s="306"/>
      <c r="E42" s="306"/>
      <c r="F42" s="303"/>
      <c r="G42" s="316"/>
      <c r="H42" s="316"/>
      <c r="I42" s="316"/>
      <c r="J42" s="316"/>
      <c r="K42" s="316"/>
    </row>
    <row r="43" spans="1:11" s="220" customFormat="1" ht="21.75" customHeight="1">
      <c r="A43" s="307" t="s">
        <v>554</v>
      </c>
      <c r="B43" s="219" t="s">
        <v>499</v>
      </c>
      <c r="C43" s="309" t="s">
        <v>497</v>
      </c>
      <c r="D43" s="305">
        <v>2018</v>
      </c>
      <c r="E43" s="305">
        <v>2020</v>
      </c>
      <c r="F43" s="302">
        <f t="shared" ref="F43" si="17">G43+H43+I43+J43</f>
        <v>384916</v>
      </c>
      <c r="G43" s="315">
        <v>0</v>
      </c>
      <c r="H43" s="315">
        <v>149465</v>
      </c>
      <c r="I43" s="315">
        <v>235451</v>
      </c>
      <c r="J43" s="315">
        <v>0</v>
      </c>
      <c r="K43" s="315">
        <v>384916</v>
      </c>
    </row>
    <row r="44" spans="1:11" s="220" customFormat="1" ht="39" customHeight="1">
      <c r="A44" s="308"/>
      <c r="B44" s="221" t="s">
        <v>500</v>
      </c>
      <c r="C44" s="310"/>
      <c r="D44" s="306"/>
      <c r="E44" s="306"/>
      <c r="F44" s="303"/>
      <c r="G44" s="316"/>
      <c r="H44" s="316"/>
      <c r="I44" s="316"/>
      <c r="J44" s="316"/>
      <c r="K44" s="316"/>
    </row>
    <row r="45" spans="1:11" s="220" customFormat="1" ht="24.75" customHeight="1">
      <c r="A45" s="307" t="s">
        <v>555</v>
      </c>
      <c r="B45" s="219" t="s">
        <v>519</v>
      </c>
      <c r="C45" s="309" t="s">
        <v>241</v>
      </c>
      <c r="D45" s="305">
        <v>2018</v>
      </c>
      <c r="E45" s="305">
        <v>2020</v>
      </c>
      <c r="F45" s="302">
        <f t="shared" ref="F45" si="18">G45+H45+I45+J45</f>
        <v>149547</v>
      </c>
      <c r="G45" s="315">
        <f>0+22432-22432</f>
        <v>0</v>
      </c>
      <c r="H45" s="315">
        <v>119638</v>
      </c>
      <c r="I45" s="315">
        <f>7477+22432</f>
        <v>29909</v>
      </c>
      <c r="J45" s="315">
        <v>0</v>
      </c>
      <c r="K45" s="315">
        <f>127115+22432</f>
        <v>149547</v>
      </c>
    </row>
    <row r="46" spans="1:11" s="220" customFormat="1" ht="45.75" customHeight="1">
      <c r="A46" s="308"/>
      <c r="B46" s="221" t="s">
        <v>520</v>
      </c>
      <c r="C46" s="310"/>
      <c r="D46" s="306"/>
      <c r="E46" s="306"/>
      <c r="F46" s="303"/>
      <c r="G46" s="316"/>
      <c r="H46" s="316"/>
      <c r="I46" s="316"/>
      <c r="J46" s="316"/>
      <c r="K46" s="316"/>
    </row>
    <row r="47" spans="1:11" s="223" customFormat="1" ht="21" customHeight="1">
      <c r="A47" s="307" t="s">
        <v>265</v>
      </c>
      <c r="B47" s="222" t="s">
        <v>284</v>
      </c>
      <c r="C47" s="309" t="s">
        <v>260</v>
      </c>
      <c r="D47" s="285">
        <v>2018</v>
      </c>
      <c r="E47" s="285">
        <v>2019</v>
      </c>
      <c r="F47" s="302">
        <f>G47+H47+I47+J47</f>
        <v>580412</v>
      </c>
      <c r="G47" s="317">
        <f>0+271512-224680-4559-3</f>
        <v>42270</v>
      </c>
      <c r="H47" s="302">
        <f>10551+212834+37559+50000+224680+15000+6400-18882</f>
        <v>538142</v>
      </c>
      <c r="I47" s="302">
        <v>0</v>
      </c>
      <c r="J47" s="302">
        <v>0</v>
      </c>
      <c r="K47" s="302">
        <f>0+15000-15000</f>
        <v>0</v>
      </c>
    </row>
    <row r="48" spans="1:11" s="223" customFormat="1" ht="40.5" customHeight="1">
      <c r="A48" s="308"/>
      <c r="B48" s="221" t="s">
        <v>285</v>
      </c>
      <c r="C48" s="310"/>
      <c r="D48" s="304"/>
      <c r="E48" s="304"/>
      <c r="F48" s="303"/>
      <c r="G48" s="304"/>
      <c r="H48" s="303"/>
      <c r="I48" s="303"/>
      <c r="J48" s="303"/>
      <c r="K48" s="303"/>
    </row>
    <row r="49" spans="1:11" s="220" customFormat="1" ht="21.75" customHeight="1">
      <c r="A49" s="307" t="s">
        <v>268</v>
      </c>
      <c r="B49" s="219" t="s">
        <v>477</v>
      </c>
      <c r="C49" s="309" t="s">
        <v>243</v>
      </c>
      <c r="D49" s="305">
        <v>2018</v>
      </c>
      <c r="E49" s="305">
        <v>2019</v>
      </c>
      <c r="F49" s="302">
        <f t="shared" ref="F49" si="19">G49+H49+I49+J49</f>
        <v>351607</v>
      </c>
      <c r="G49" s="315">
        <f>0+220118-153253-17144</f>
        <v>49721</v>
      </c>
      <c r="H49" s="315">
        <f>115313+153253+17144+16176</f>
        <v>301886</v>
      </c>
      <c r="I49" s="315">
        <v>0</v>
      </c>
      <c r="J49" s="315">
        <v>0</v>
      </c>
      <c r="K49" s="315">
        <v>0</v>
      </c>
    </row>
    <row r="50" spans="1:11" s="220" customFormat="1" ht="33" customHeight="1">
      <c r="A50" s="308"/>
      <c r="B50" s="221" t="s">
        <v>478</v>
      </c>
      <c r="C50" s="310"/>
      <c r="D50" s="306"/>
      <c r="E50" s="306"/>
      <c r="F50" s="303"/>
      <c r="G50" s="316"/>
      <c r="H50" s="316"/>
      <c r="I50" s="316"/>
      <c r="J50" s="316"/>
      <c r="K50" s="316"/>
    </row>
    <row r="51" spans="1:11" s="220" customFormat="1" ht="21.75" customHeight="1">
      <c r="A51" s="307" t="s">
        <v>556</v>
      </c>
      <c r="B51" s="219" t="s">
        <v>475</v>
      </c>
      <c r="C51" s="309" t="s">
        <v>466</v>
      </c>
      <c r="D51" s="305">
        <v>2018</v>
      </c>
      <c r="E51" s="305">
        <v>2019</v>
      </c>
      <c r="F51" s="302">
        <f t="shared" ref="F51" si="20">G51+H51+I51+J51</f>
        <v>367716</v>
      </c>
      <c r="G51" s="315">
        <f>277601-220234-102</f>
        <v>57265</v>
      </c>
      <c r="H51" s="315">
        <f>78688+220234+102+11427</f>
        <v>310451</v>
      </c>
      <c r="I51" s="315">
        <v>0</v>
      </c>
      <c r="J51" s="315">
        <v>0</v>
      </c>
      <c r="K51" s="315">
        <v>0</v>
      </c>
    </row>
    <row r="52" spans="1:11" s="220" customFormat="1" ht="30.75" customHeight="1">
      <c r="A52" s="308"/>
      <c r="B52" s="221" t="s">
        <v>476</v>
      </c>
      <c r="C52" s="310"/>
      <c r="D52" s="306"/>
      <c r="E52" s="306"/>
      <c r="F52" s="303"/>
      <c r="G52" s="316"/>
      <c r="H52" s="316"/>
      <c r="I52" s="316"/>
      <c r="J52" s="316"/>
      <c r="K52" s="316"/>
    </row>
    <row r="53" spans="1:11" s="220" customFormat="1" ht="28.5" customHeight="1">
      <c r="A53" s="307" t="s">
        <v>270</v>
      </c>
      <c r="B53" s="219" t="s">
        <v>470</v>
      </c>
      <c r="C53" s="309" t="s">
        <v>464</v>
      </c>
      <c r="D53" s="305">
        <v>2018</v>
      </c>
      <c r="E53" s="305">
        <v>2019</v>
      </c>
      <c r="F53" s="302">
        <f t="shared" ref="F53" si="21">G53+H53+I53+J53</f>
        <v>432039</v>
      </c>
      <c r="G53" s="315">
        <f>0+328092-264448-8147</f>
        <v>55497</v>
      </c>
      <c r="H53" s="315">
        <f>103947+264448+8147</f>
        <v>376542</v>
      </c>
      <c r="I53" s="315">
        <v>0</v>
      </c>
      <c r="J53" s="315">
        <v>0</v>
      </c>
      <c r="K53" s="315">
        <v>0</v>
      </c>
    </row>
    <row r="54" spans="1:11" s="220" customFormat="1" ht="30.75" customHeight="1">
      <c r="A54" s="308"/>
      <c r="B54" s="221" t="s">
        <v>471</v>
      </c>
      <c r="C54" s="310"/>
      <c r="D54" s="306"/>
      <c r="E54" s="306"/>
      <c r="F54" s="303"/>
      <c r="G54" s="316"/>
      <c r="H54" s="316"/>
      <c r="I54" s="316"/>
      <c r="J54" s="316"/>
      <c r="K54" s="316"/>
    </row>
    <row r="55" spans="1:11" s="220" customFormat="1" ht="28.5" customHeight="1">
      <c r="A55" s="307" t="s">
        <v>557</v>
      </c>
      <c r="B55" s="219" t="s">
        <v>495</v>
      </c>
      <c r="C55" s="309" t="s">
        <v>469</v>
      </c>
      <c r="D55" s="305">
        <v>2018</v>
      </c>
      <c r="E55" s="305">
        <v>2019</v>
      </c>
      <c r="F55" s="302">
        <f t="shared" ref="F55" si="22">G55+H55+I55+J55</f>
        <v>428453</v>
      </c>
      <c r="G55" s="315">
        <f>0+344653-88039-3078</f>
        <v>253536</v>
      </c>
      <c r="H55" s="315">
        <f>83800+88039+3078</f>
        <v>174917</v>
      </c>
      <c r="I55" s="315">
        <v>0</v>
      </c>
      <c r="J55" s="315">
        <v>0</v>
      </c>
      <c r="K55" s="315">
        <v>0</v>
      </c>
    </row>
    <row r="56" spans="1:11" s="220" customFormat="1" ht="29.25" customHeight="1">
      <c r="A56" s="308"/>
      <c r="B56" s="221" t="s">
        <v>479</v>
      </c>
      <c r="C56" s="310"/>
      <c r="D56" s="306"/>
      <c r="E56" s="306"/>
      <c r="F56" s="303"/>
      <c r="G56" s="316"/>
      <c r="H56" s="316"/>
      <c r="I56" s="316"/>
      <c r="J56" s="316"/>
      <c r="K56" s="316"/>
    </row>
    <row r="57" spans="1:11" s="220" customFormat="1" ht="28.5" customHeight="1">
      <c r="A57" s="307" t="s">
        <v>273</v>
      </c>
      <c r="B57" s="219" t="s">
        <v>493</v>
      </c>
      <c r="C57" s="309" t="s">
        <v>465</v>
      </c>
      <c r="D57" s="305">
        <v>2018</v>
      </c>
      <c r="E57" s="305">
        <v>2019</v>
      </c>
      <c r="F57" s="302">
        <f t="shared" ref="F57" si="23">G57+H57+I57+J57</f>
        <v>411707</v>
      </c>
      <c r="G57" s="315">
        <f>0+316228-87933-15575</f>
        <v>212720</v>
      </c>
      <c r="H57" s="315">
        <f>95479+87933+15575</f>
        <v>198987</v>
      </c>
      <c r="I57" s="315">
        <v>0</v>
      </c>
      <c r="J57" s="315">
        <v>0</v>
      </c>
      <c r="K57" s="315">
        <v>0</v>
      </c>
    </row>
    <row r="58" spans="1:11" s="220" customFormat="1" ht="32.25" customHeight="1">
      <c r="A58" s="308"/>
      <c r="B58" s="221" t="s">
        <v>474</v>
      </c>
      <c r="C58" s="310"/>
      <c r="D58" s="306"/>
      <c r="E58" s="306"/>
      <c r="F58" s="303"/>
      <c r="G58" s="316"/>
      <c r="H58" s="316"/>
      <c r="I58" s="316"/>
      <c r="J58" s="316"/>
      <c r="K58" s="316"/>
    </row>
    <row r="59" spans="1:11" s="220" customFormat="1" ht="29.25" customHeight="1">
      <c r="A59" s="307" t="s">
        <v>276</v>
      </c>
      <c r="B59" s="219" t="s">
        <v>472</v>
      </c>
      <c r="C59" s="309" t="s">
        <v>302</v>
      </c>
      <c r="D59" s="305">
        <v>2018</v>
      </c>
      <c r="E59" s="305">
        <v>2019</v>
      </c>
      <c r="F59" s="302">
        <f t="shared" ref="F59" si="24">G59+H59+I59+J59</f>
        <v>412878</v>
      </c>
      <c r="G59" s="315">
        <f>0+312199-235278-14896</f>
        <v>62025</v>
      </c>
      <c r="H59" s="315">
        <f>100679+235278+14896</f>
        <v>350853</v>
      </c>
      <c r="I59" s="315">
        <v>0</v>
      </c>
      <c r="J59" s="315">
        <v>0</v>
      </c>
      <c r="K59" s="315">
        <v>0</v>
      </c>
    </row>
    <row r="60" spans="1:11" s="220" customFormat="1" ht="21" customHeight="1">
      <c r="A60" s="308"/>
      <c r="B60" s="221" t="s">
        <v>473</v>
      </c>
      <c r="C60" s="310"/>
      <c r="D60" s="306"/>
      <c r="E60" s="306"/>
      <c r="F60" s="303"/>
      <c r="G60" s="316"/>
      <c r="H60" s="316"/>
      <c r="I60" s="316"/>
      <c r="J60" s="316"/>
      <c r="K60" s="316"/>
    </row>
    <row r="61" spans="1:11" s="220" customFormat="1" ht="50.25" customHeight="1">
      <c r="A61" s="307" t="s">
        <v>280</v>
      </c>
      <c r="B61" s="219" t="s">
        <v>481</v>
      </c>
      <c r="C61" s="309" t="s">
        <v>468</v>
      </c>
      <c r="D61" s="305">
        <v>2018</v>
      </c>
      <c r="E61" s="305">
        <v>2020</v>
      </c>
      <c r="F61" s="302">
        <f t="shared" ref="F61" si="25">G61+H61+I61+J61</f>
        <v>881375</v>
      </c>
      <c r="G61" s="315">
        <f>0+608125-347675-57769</f>
        <v>202681</v>
      </c>
      <c r="H61" s="315">
        <f>174200+347675+57769</f>
        <v>579644</v>
      </c>
      <c r="I61" s="315">
        <v>99050</v>
      </c>
      <c r="J61" s="315">
        <v>0</v>
      </c>
      <c r="K61" s="315">
        <f>273250+347675+57769</f>
        <v>678694</v>
      </c>
    </row>
    <row r="62" spans="1:11" s="220" customFormat="1" ht="42.75" customHeight="1">
      <c r="A62" s="308"/>
      <c r="B62" s="221" t="s">
        <v>568</v>
      </c>
      <c r="C62" s="310"/>
      <c r="D62" s="306"/>
      <c r="E62" s="306"/>
      <c r="F62" s="303"/>
      <c r="G62" s="316"/>
      <c r="H62" s="316"/>
      <c r="I62" s="316"/>
      <c r="J62" s="316"/>
      <c r="K62" s="316"/>
    </row>
    <row r="63" spans="1:11" s="220" customFormat="1" ht="42.75" customHeight="1">
      <c r="A63" s="307" t="s">
        <v>283</v>
      </c>
      <c r="B63" s="219" t="s">
        <v>494</v>
      </c>
      <c r="C63" s="309" t="s">
        <v>467</v>
      </c>
      <c r="D63" s="305">
        <v>2018</v>
      </c>
      <c r="E63" s="305">
        <v>2019</v>
      </c>
      <c r="F63" s="302">
        <f t="shared" ref="F63" si="26">G63+H63+I63+J63</f>
        <v>359855</v>
      </c>
      <c r="G63" s="315">
        <f>0+300388-98471-7495</f>
        <v>194422</v>
      </c>
      <c r="H63" s="315">
        <f>59467+98471+7495</f>
        <v>165433</v>
      </c>
      <c r="I63" s="315">
        <v>0</v>
      </c>
      <c r="J63" s="315">
        <v>0</v>
      </c>
      <c r="K63" s="315">
        <v>0</v>
      </c>
    </row>
    <row r="64" spans="1:11" s="220" customFormat="1" ht="70.5" customHeight="1">
      <c r="A64" s="308"/>
      <c r="B64" s="221" t="s">
        <v>480</v>
      </c>
      <c r="C64" s="310"/>
      <c r="D64" s="306"/>
      <c r="E64" s="306"/>
      <c r="F64" s="303"/>
      <c r="G64" s="316"/>
      <c r="H64" s="316"/>
      <c r="I64" s="316"/>
      <c r="J64" s="316"/>
      <c r="K64" s="316"/>
    </row>
    <row r="65" spans="1:11" s="220" customFormat="1" ht="16.5" customHeight="1">
      <c r="A65" s="307" t="s">
        <v>286</v>
      </c>
      <c r="B65" s="219" t="s">
        <v>528</v>
      </c>
      <c r="C65" s="309" t="s">
        <v>260</v>
      </c>
      <c r="D65" s="328">
        <v>2018</v>
      </c>
      <c r="E65" s="333">
        <v>2019</v>
      </c>
      <c r="F65" s="302">
        <f t="shared" ref="F65" si="27">G65+H65+I65+J65</f>
        <v>740211</v>
      </c>
      <c r="G65" s="315">
        <f>0+15391-6480+17000+9690</f>
        <v>35601</v>
      </c>
      <c r="H65" s="302">
        <f>92331+6480+448626+130293+26880</f>
        <v>704610</v>
      </c>
      <c r="I65" s="302">
        <v>0</v>
      </c>
      <c r="J65" s="302">
        <v>0</v>
      </c>
      <c r="K65" s="302">
        <v>0</v>
      </c>
    </row>
    <row r="66" spans="1:11" s="220" customFormat="1" ht="40.5" customHeight="1">
      <c r="A66" s="308"/>
      <c r="B66" s="221" t="s">
        <v>529</v>
      </c>
      <c r="C66" s="310"/>
      <c r="D66" s="304"/>
      <c r="E66" s="334"/>
      <c r="F66" s="303"/>
      <c r="G66" s="316"/>
      <c r="H66" s="303"/>
      <c r="I66" s="303"/>
      <c r="J66" s="303"/>
      <c r="K66" s="303"/>
    </row>
    <row r="67" spans="1:11" s="223" customFormat="1" ht="16.5" customHeight="1">
      <c r="A67" s="307" t="s">
        <v>289</v>
      </c>
      <c r="B67" s="222" t="s">
        <v>262</v>
      </c>
      <c r="C67" s="309" t="s">
        <v>263</v>
      </c>
      <c r="D67" s="285">
        <v>2017</v>
      </c>
      <c r="E67" s="285">
        <v>2019</v>
      </c>
      <c r="F67" s="302">
        <f t="shared" ref="F67" si="28">G67+H67+I67+J67</f>
        <v>958447</v>
      </c>
      <c r="G67" s="317">
        <f>84835+693378-91916</f>
        <v>686297</v>
      </c>
      <c r="H67" s="302">
        <f>180234+91916</f>
        <v>272150</v>
      </c>
      <c r="I67" s="302">
        <v>0</v>
      </c>
      <c r="J67" s="302">
        <v>0</v>
      </c>
      <c r="K67" s="302">
        <v>0</v>
      </c>
    </row>
    <row r="68" spans="1:11" s="223" customFormat="1" ht="19.5" customHeight="1">
      <c r="A68" s="308"/>
      <c r="B68" s="221" t="s">
        <v>264</v>
      </c>
      <c r="C68" s="310"/>
      <c r="D68" s="304"/>
      <c r="E68" s="304"/>
      <c r="F68" s="303"/>
      <c r="G68" s="304"/>
      <c r="H68" s="303"/>
      <c r="I68" s="303"/>
      <c r="J68" s="303"/>
      <c r="K68" s="303"/>
    </row>
    <row r="69" spans="1:11" s="223" customFormat="1" ht="24" customHeight="1">
      <c r="A69" s="307" t="s">
        <v>292</v>
      </c>
      <c r="B69" s="222" t="s">
        <v>287</v>
      </c>
      <c r="C69" s="309" t="s">
        <v>278</v>
      </c>
      <c r="D69" s="285">
        <v>2018</v>
      </c>
      <c r="E69" s="285">
        <v>2020</v>
      </c>
      <c r="F69" s="302">
        <f t="shared" ref="F69" si="29">G69+H69+I69+J69</f>
        <v>2089317</v>
      </c>
      <c r="G69" s="317">
        <f>0+715370+10402+26-104650</f>
        <v>621148</v>
      </c>
      <c r="H69" s="302">
        <f>685283+104624</f>
        <v>789907</v>
      </c>
      <c r="I69" s="302">
        <v>678262</v>
      </c>
      <c r="J69" s="302">
        <v>0</v>
      </c>
      <c r="K69" s="302">
        <f>1363545+104624</f>
        <v>1468169</v>
      </c>
    </row>
    <row r="70" spans="1:11" s="223" customFormat="1" ht="30" customHeight="1">
      <c r="A70" s="308"/>
      <c r="B70" s="221" t="s">
        <v>288</v>
      </c>
      <c r="C70" s="310"/>
      <c r="D70" s="304"/>
      <c r="E70" s="304"/>
      <c r="F70" s="303"/>
      <c r="G70" s="304"/>
      <c r="H70" s="303"/>
      <c r="I70" s="303"/>
      <c r="J70" s="303"/>
      <c r="K70" s="303"/>
    </row>
    <row r="71" spans="1:11" s="220" customFormat="1" ht="28.5" customHeight="1">
      <c r="A71" s="307" t="s">
        <v>294</v>
      </c>
      <c r="B71" s="219" t="s">
        <v>271</v>
      </c>
      <c r="C71" s="309" t="s">
        <v>260</v>
      </c>
      <c r="D71" s="305">
        <v>2017</v>
      </c>
      <c r="E71" s="343">
        <v>2019</v>
      </c>
      <c r="F71" s="302">
        <f t="shared" ref="F71" si="30">G71+H71+I71+J71</f>
        <v>226001</v>
      </c>
      <c r="G71" s="315">
        <f>14160+214514-24291-44273</f>
        <v>160110</v>
      </c>
      <c r="H71" s="315">
        <f>41600+24291</f>
        <v>65891</v>
      </c>
      <c r="I71" s="315">
        <v>0</v>
      </c>
      <c r="J71" s="315">
        <v>0</v>
      </c>
      <c r="K71" s="315">
        <v>0</v>
      </c>
    </row>
    <row r="72" spans="1:11" s="220" customFormat="1" ht="31.5" customHeight="1">
      <c r="A72" s="308"/>
      <c r="B72" s="221" t="s">
        <v>272</v>
      </c>
      <c r="C72" s="310"/>
      <c r="D72" s="306"/>
      <c r="E72" s="344"/>
      <c r="F72" s="303"/>
      <c r="G72" s="316"/>
      <c r="H72" s="316"/>
      <c r="I72" s="316"/>
      <c r="J72" s="316"/>
      <c r="K72" s="316"/>
    </row>
    <row r="73" spans="1:11" s="223" customFormat="1" ht="16.5" customHeight="1">
      <c r="A73" s="307" t="s">
        <v>296</v>
      </c>
      <c r="B73" s="222" t="s">
        <v>266</v>
      </c>
      <c r="C73" s="309" t="s">
        <v>260</v>
      </c>
      <c r="D73" s="285">
        <v>2018</v>
      </c>
      <c r="E73" s="285">
        <v>2019</v>
      </c>
      <c r="F73" s="302">
        <f t="shared" ref="F73" si="31">G73+H73+I73+J73</f>
        <v>16190</v>
      </c>
      <c r="G73" s="317">
        <f>0+13000-2716</f>
        <v>10284</v>
      </c>
      <c r="H73" s="302">
        <f>4153+600+1153</f>
        <v>5906</v>
      </c>
      <c r="I73" s="302">
        <v>0</v>
      </c>
      <c r="J73" s="302">
        <v>0</v>
      </c>
      <c r="K73" s="302">
        <v>0</v>
      </c>
    </row>
    <row r="74" spans="1:11" s="223" customFormat="1" ht="29.25" customHeight="1">
      <c r="A74" s="308"/>
      <c r="B74" s="221" t="s">
        <v>267</v>
      </c>
      <c r="C74" s="310"/>
      <c r="D74" s="304"/>
      <c r="E74" s="304"/>
      <c r="F74" s="303"/>
      <c r="G74" s="304"/>
      <c r="H74" s="303"/>
      <c r="I74" s="303"/>
      <c r="J74" s="303"/>
      <c r="K74" s="303"/>
    </row>
    <row r="75" spans="1:11" s="220" customFormat="1" ht="16.5" customHeight="1">
      <c r="A75" s="307" t="s">
        <v>298</v>
      </c>
      <c r="B75" s="219" t="s">
        <v>290</v>
      </c>
      <c r="C75" s="326" t="s">
        <v>260</v>
      </c>
      <c r="D75" s="305">
        <v>2018</v>
      </c>
      <c r="E75" s="305">
        <v>2019</v>
      </c>
      <c r="F75" s="302">
        <f t="shared" ref="F75" si="32">G75+H75+I75+J75</f>
        <v>116508</v>
      </c>
      <c r="G75" s="315">
        <f>0+52934-2000-7146</f>
        <v>43788</v>
      </c>
      <c r="H75" s="315">
        <f>70720+2000</f>
        <v>72720</v>
      </c>
      <c r="I75" s="315">
        <v>0</v>
      </c>
      <c r="J75" s="315">
        <v>0</v>
      </c>
      <c r="K75" s="315">
        <v>0</v>
      </c>
    </row>
    <row r="76" spans="1:11" s="220" customFormat="1" ht="26.25" customHeight="1">
      <c r="A76" s="308"/>
      <c r="B76" s="221" t="s">
        <v>291</v>
      </c>
      <c r="C76" s="327"/>
      <c r="D76" s="306"/>
      <c r="E76" s="306"/>
      <c r="F76" s="303"/>
      <c r="G76" s="316"/>
      <c r="H76" s="316"/>
      <c r="I76" s="316"/>
      <c r="J76" s="316"/>
      <c r="K76" s="316"/>
    </row>
    <row r="77" spans="1:11" s="223" customFormat="1" ht="24" customHeight="1">
      <c r="A77" s="307" t="s">
        <v>299</v>
      </c>
      <c r="B77" s="222" t="s">
        <v>281</v>
      </c>
      <c r="C77" s="326" t="s">
        <v>260</v>
      </c>
      <c r="D77" s="285">
        <v>2017</v>
      </c>
      <c r="E77" s="285">
        <v>2019</v>
      </c>
      <c r="F77" s="302">
        <f t="shared" ref="F77" si="33">G77+H77+I77+J77</f>
        <v>622330</v>
      </c>
      <c r="G77" s="317">
        <f>78384+292126</f>
        <v>370510</v>
      </c>
      <c r="H77" s="302">
        <f>54445+197375</f>
        <v>251820</v>
      </c>
      <c r="I77" s="302">
        <v>0</v>
      </c>
      <c r="J77" s="302">
        <v>0</v>
      </c>
      <c r="K77" s="302">
        <v>0</v>
      </c>
    </row>
    <row r="78" spans="1:11" s="223" customFormat="1" ht="28.5" customHeight="1">
      <c r="A78" s="308"/>
      <c r="B78" s="221" t="s">
        <v>282</v>
      </c>
      <c r="C78" s="327"/>
      <c r="D78" s="304"/>
      <c r="E78" s="304"/>
      <c r="F78" s="303"/>
      <c r="G78" s="304"/>
      <c r="H78" s="303"/>
      <c r="I78" s="303"/>
      <c r="J78" s="303"/>
      <c r="K78" s="303"/>
    </row>
    <row r="79" spans="1:11" s="220" customFormat="1" ht="41.25" customHeight="1">
      <c r="A79" s="307" t="s">
        <v>300</v>
      </c>
      <c r="B79" s="219" t="s">
        <v>310</v>
      </c>
      <c r="C79" s="309" t="s">
        <v>260</v>
      </c>
      <c r="D79" s="305">
        <v>2018</v>
      </c>
      <c r="E79" s="305">
        <v>2020</v>
      </c>
      <c r="F79" s="302">
        <f t="shared" ref="F79" si="34">G79+H79+I79+J79</f>
        <v>111378</v>
      </c>
      <c r="G79" s="315">
        <f>0+52272-52272</f>
        <v>0</v>
      </c>
      <c r="H79" s="315">
        <f>54066+52272</f>
        <v>106338</v>
      </c>
      <c r="I79" s="315">
        <v>5040</v>
      </c>
      <c r="J79" s="315">
        <v>0</v>
      </c>
      <c r="K79" s="315">
        <f>59106+52272</f>
        <v>111378</v>
      </c>
    </row>
    <row r="80" spans="1:11" s="220" customFormat="1" ht="37.5" customHeight="1">
      <c r="A80" s="308"/>
      <c r="B80" s="221" t="s">
        <v>311</v>
      </c>
      <c r="C80" s="310"/>
      <c r="D80" s="306"/>
      <c r="E80" s="306"/>
      <c r="F80" s="303"/>
      <c r="G80" s="316"/>
      <c r="H80" s="316"/>
      <c r="I80" s="316"/>
      <c r="J80" s="316"/>
      <c r="K80" s="316"/>
    </row>
    <row r="81" spans="1:11" s="220" customFormat="1" ht="27.75" customHeight="1">
      <c r="A81" s="307" t="s">
        <v>304</v>
      </c>
      <c r="B81" s="219" t="s">
        <v>523</v>
      </c>
      <c r="C81" s="309" t="s">
        <v>278</v>
      </c>
      <c r="D81" s="305">
        <v>2019</v>
      </c>
      <c r="E81" s="305">
        <v>2021</v>
      </c>
      <c r="F81" s="302">
        <f t="shared" ref="F81" si="35">G81+H81+I81+J81</f>
        <v>209155</v>
      </c>
      <c r="G81" s="315">
        <v>0</v>
      </c>
      <c r="H81" s="315">
        <v>77781</v>
      </c>
      <c r="I81" s="315">
        <v>65113</v>
      </c>
      <c r="J81" s="315">
        <v>66261</v>
      </c>
      <c r="K81" s="315">
        <v>209155</v>
      </c>
    </row>
    <row r="82" spans="1:11" s="220" customFormat="1" ht="43.5" customHeight="1">
      <c r="A82" s="308"/>
      <c r="B82" s="221" t="s">
        <v>569</v>
      </c>
      <c r="C82" s="310"/>
      <c r="D82" s="306"/>
      <c r="E82" s="306"/>
      <c r="F82" s="303"/>
      <c r="G82" s="316"/>
      <c r="H82" s="316"/>
      <c r="I82" s="316"/>
      <c r="J82" s="316"/>
      <c r="K82" s="316"/>
    </row>
    <row r="83" spans="1:11" s="220" customFormat="1" ht="38.25" customHeight="1">
      <c r="A83" s="307" t="s">
        <v>307</v>
      </c>
      <c r="B83" s="222" t="s">
        <v>277</v>
      </c>
      <c r="C83" s="309" t="s">
        <v>278</v>
      </c>
      <c r="D83" s="285">
        <v>2020</v>
      </c>
      <c r="E83" s="285">
        <v>2021</v>
      </c>
      <c r="F83" s="302">
        <f t="shared" ref="F83" si="36">G83+H83+I83+J83</f>
        <v>527756</v>
      </c>
      <c r="G83" s="315">
        <v>0</v>
      </c>
      <c r="H83" s="302">
        <f>290979-290979</f>
        <v>0</v>
      </c>
      <c r="I83" s="302">
        <f>229477+68802</f>
        <v>298279</v>
      </c>
      <c r="J83" s="302">
        <f>0+229477</f>
        <v>229477</v>
      </c>
      <c r="K83" s="302">
        <f>520456+7300</f>
        <v>527756</v>
      </c>
    </row>
    <row r="84" spans="1:11" s="220" customFormat="1" ht="30" customHeight="1">
      <c r="A84" s="308"/>
      <c r="B84" s="221" t="s">
        <v>279</v>
      </c>
      <c r="C84" s="310"/>
      <c r="D84" s="304"/>
      <c r="E84" s="304"/>
      <c r="F84" s="303"/>
      <c r="G84" s="316"/>
      <c r="H84" s="303"/>
      <c r="I84" s="303"/>
      <c r="J84" s="303"/>
      <c r="K84" s="303"/>
    </row>
    <row r="85" spans="1:11" s="220" customFormat="1" ht="51" customHeight="1">
      <c r="A85" s="307" t="s">
        <v>485</v>
      </c>
      <c r="B85" s="219" t="s">
        <v>274</v>
      </c>
      <c r="C85" s="309" t="s">
        <v>260</v>
      </c>
      <c r="D85" s="328">
        <v>2017</v>
      </c>
      <c r="E85" s="333">
        <v>2020</v>
      </c>
      <c r="F85" s="302">
        <f t="shared" ref="F85" si="37">G85+H85+I85+J85</f>
        <v>2915819</v>
      </c>
      <c r="G85" s="315">
        <f>45000-39796+75000</f>
        <v>80204</v>
      </c>
      <c r="H85" s="315">
        <f>844440+624196+43450</f>
        <v>1512086</v>
      </c>
      <c r="I85" s="315">
        <f>1102825+220704</f>
        <v>1323529</v>
      </c>
      <c r="J85" s="315">
        <v>0</v>
      </c>
      <c r="K85" s="315">
        <f>2792165+43450</f>
        <v>2835615</v>
      </c>
    </row>
    <row r="86" spans="1:11" s="220" customFormat="1" ht="33" customHeight="1">
      <c r="A86" s="308"/>
      <c r="B86" s="221" t="s">
        <v>275</v>
      </c>
      <c r="C86" s="310"/>
      <c r="D86" s="304"/>
      <c r="E86" s="334"/>
      <c r="F86" s="303"/>
      <c r="G86" s="316"/>
      <c r="H86" s="316"/>
      <c r="I86" s="316"/>
      <c r="J86" s="316"/>
      <c r="K86" s="316"/>
    </row>
    <row r="87" spans="1:11" s="220" customFormat="1" ht="30" customHeight="1">
      <c r="A87" s="307" t="s">
        <v>486</v>
      </c>
      <c r="B87" s="219" t="s">
        <v>572</v>
      </c>
      <c r="C87" s="309" t="s">
        <v>263</v>
      </c>
      <c r="D87" s="305">
        <v>2019</v>
      </c>
      <c r="E87" s="305">
        <v>2021</v>
      </c>
      <c r="F87" s="302">
        <f t="shared" ref="F87" si="38">G87+H87+I87+J87</f>
        <v>241886</v>
      </c>
      <c r="G87" s="315">
        <v>0</v>
      </c>
      <c r="H87" s="315">
        <v>98436</v>
      </c>
      <c r="I87" s="315">
        <v>140346</v>
      </c>
      <c r="J87" s="315">
        <v>3104</v>
      </c>
      <c r="K87" s="315">
        <v>241886</v>
      </c>
    </row>
    <row r="88" spans="1:11" s="220" customFormat="1" ht="33" customHeight="1">
      <c r="A88" s="308"/>
      <c r="B88" s="221" t="s">
        <v>573</v>
      </c>
      <c r="C88" s="310"/>
      <c r="D88" s="306"/>
      <c r="E88" s="306"/>
      <c r="F88" s="303"/>
      <c r="G88" s="316"/>
      <c r="H88" s="316"/>
      <c r="I88" s="316"/>
      <c r="J88" s="316"/>
      <c r="K88" s="316"/>
    </row>
    <row r="89" spans="1:11" s="223" customFormat="1" ht="18" customHeight="1">
      <c r="A89" s="307" t="s">
        <v>487</v>
      </c>
      <c r="B89" s="222" t="s">
        <v>577</v>
      </c>
      <c r="C89" s="309" t="s">
        <v>260</v>
      </c>
      <c r="D89" s="285">
        <v>2018</v>
      </c>
      <c r="E89" s="285">
        <v>2019</v>
      </c>
      <c r="F89" s="302">
        <f>G89+H89+I89+J89</f>
        <v>259840</v>
      </c>
      <c r="G89" s="317">
        <f>0+211148-8</f>
        <v>211140</v>
      </c>
      <c r="H89" s="302">
        <v>48700</v>
      </c>
      <c r="I89" s="302">
        <v>0</v>
      </c>
      <c r="J89" s="302">
        <v>0</v>
      </c>
      <c r="K89" s="302">
        <f>259848-259848</f>
        <v>0</v>
      </c>
    </row>
    <row r="90" spans="1:11" s="223" customFormat="1" ht="46.5" customHeight="1">
      <c r="A90" s="308"/>
      <c r="B90" s="221" t="s">
        <v>579</v>
      </c>
      <c r="C90" s="310"/>
      <c r="D90" s="304"/>
      <c r="E90" s="304"/>
      <c r="F90" s="303"/>
      <c r="G90" s="304"/>
      <c r="H90" s="303"/>
      <c r="I90" s="303"/>
      <c r="J90" s="303"/>
      <c r="K90" s="303"/>
    </row>
    <row r="91" spans="1:11" s="223" customFormat="1" ht="18.75" customHeight="1">
      <c r="A91" s="307" t="s">
        <v>488</v>
      </c>
      <c r="B91" s="219" t="s">
        <v>596</v>
      </c>
      <c r="C91" s="309" t="s">
        <v>260</v>
      </c>
      <c r="D91" s="285">
        <v>2016</v>
      </c>
      <c r="E91" s="285">
        <v>2019</v>
      </c>
      <c r="F91" s="302">
        <f>G91+H91+I91+J91</f>
        <v>164312</v>
      </c>
      <c r="G91" s="317">
        <f>162252</f>
        <v>162252</v>
      </c>
      <c r="H91" s="302">
        <f>2060</f>
        <v>2060</v>
      </c>
      <c r="I91" s="302">
        <v>0</v>
      </c>
      <c r="J91" s="302">
        <v>0</v>
      </c>
      <c r="K91" s="302">
        <f>259848-259848</f>
        <v>0</v>
      </c>
    </row>
    <row r="92" spans="1:11" s="223" customFormat="1" ht="39" customHeight="1">
      <c r="A92" s="308"/>
      <c r="B92" s="221" t="s">
        <v>597</v>
      </c>
      <c r="C92" s="310"/>
      <c r="D92" s="304"/>
      <c r="E92" s="304"/>
      <c r="F92" s="303"/>
      <c r="G92" s="304"/>
      <c r="H92" s="303"/>
      <c r="I92" s="303"/>
      <c r="J92" s="303"/>
      <c r="K92" s="303"/>
    </row>
    <row r="93" spans="1:11" s="220" customFormat="1" ht="22.5" customHeight="1">
      <c r="A93" s="307" t="s">
        <v>489</v>
      </c>
      <c r="B93" s="219" t="s">
        <v>526</v>
      </c>
      <c r="C93" s="326" t="s">
        <v>260</v>
      </c>
      <c r="D93" s="305">
        <v>2018</v>
      </c>
      <c r="E93" s="328">
        <v>2019</v>
      </c>
      <c r="F93" s="302">
        <f t="shared" ref="F93" si="39">G93+H93+I93+J93</f>
        <v>13040</v>
      </c>
      <c r="G93" s="315">
        <v>0</v>
      </c>
      <c r="H93" s="315">
        <v>13040</v>
      </c>
      <c r="I93" s="315">
        <v>0</v>
      </c>
      <c r="J93" s="315">
        <v>0</v>
      </c>
      <c r="K93" s="315">
        <v>0</v>
      </c>
    </row>
    <row r="94" spans="1:11" s="220" customFormat="1" ht="18.75" customHeight="1">
      <c r="A94" s="308"/>
      <c r="B94" s="221" t="s">
        <v>527</v>
      </c>
      <c r="C94" s="327"/>
      <c r="D94" s="306"/>
      <c r="E94" s="304"/>
      <c r="F94" s="303"/>
      <c r="G94" s="316"/>
      <c r="H94" s="316"/>
      <c r="I94" s="316"/>
      <c r="J94" s="316"/>
      <c r="K94" s="316"/>
    </row>
    <row r="95" spans="1:11" s="220" customFormat="1" ht="16.5" customHeight="1">
      <c r="A95" s="307" t="s">
        <v>490</v>
      </c>
      <c r="B95" s="222" t="s">
        <v>601</v>
      </c>
      <c r="C95" s="322" t="s">
        <v>260</v>
      </c>
      <c r="D95" s="305">
        <v>2017</v>
      </c>
      <c r="E95" s="328">
        <v>2019</v>
      </c>
      <c r="F95" s="302">
        <f t="shared" ref="F95" si="40">G95+H95+I95+J95</f>
        <v>74183</v>
      </c>
      <c r="G95" s="315">
        <v>20098</v>
      </c>
      <c r="H95" s="315">
        <v>54085</v>
      </c>
      <c r="I95" s="315">
        <v>0</v>
      </c>
      <c r="J95" s="315">
        <v>0</v>
      </c>
      <c r="K95" s="315">
        <v>0</v>
      </c>
    </row>
    <row r="96" spans="1:11" s="220" customFormat="1" ht="32.25" customHeight="1">
      <c r="A96" s="308"/>
      <c r="B96" s="221" t="s">
        <v>602</v>
      </c>
      <c r="C96" s="323"/>
      <c r="D96" s="306"/>
      <c r="E96" s="304"/>
      <c r="F96" s="303"/>
      <c r="G96" s="316"/>
      <c r="H96" s="316"/>
      <c r="I96" s="316"/>
      <c r="J96" s="316"/>
      <c r="K96" s="316"/>
    </row>
    <row r="97" spans="1:11" s="220" customFormat="1" ht="16.5" customHeight="1">
      <c r="A97" s="307" t="s">
        <v>491</v>
      </c>
      <c r="B97" s="219" t="s">
        <v>603</v>
      </c>
      <c r="C97" s="326" t="s">
        <v>260</v>
      </c>
      <c r="D97" s="305">
        <v>2016</v>
      </c>
      <c r="E97" s="305">
        <v>2019</v>
      </c>
      <c r="F97" s="302">
        <f t="shared" ref="F97" si="41">G97+H97+I97+J97</f>
        <v>134667</v>
      </c>
      <c r="G97" s="315">
        <f>70545</f>
        <v>70545</v>
      </c>
      <c r="H97" s="315">
        <v>64122</v>
      </c>
      <c r="I97" s="315">
        <v>0</v>
      </c>
      <c r="J97" s="315">
        <v>0</v>
      </c>
      <c r="K97" s="315">
        <v>0</v>
      </c>
    </row>
    <row r="98" spans="1:11" s="220" customFormat="1" ht="36.75" customHeight="1">
      <c r="A98" s="308"/>
      <c r="B98" s="221" t="s">
        <v>604</v>
      </c>
      <c r="C98" s="327"/>
      <c r="D98" s="306"/>
      <c r="E98" s="306"/>
      <c r="F98" s="303"/>
      <c r="G98" s="316"/>
      <c r="H98" s="316"/>
      <c r="I98" s="316"/>
      <c r="J98" s="316"/>
      <c r="K98" s="316"/>
    </row>
    <row r="99" spans="1:11" s="145" customFormat="1" ht="14.25" customHeight="1">
      <c r="A99" s="307" t="s">
        <v>492</v>
      </c>
      <c r="B99" s="222" t="s">
        <v>373</v>
      </c>
      <c r="C99" s="329" t="s">
        <v>260</v>
      </c>
      <c r="D99" s="285">
        <v>2015</v>
      </c>
      <c r="E99" s="285">
        <v>2021</v>
      </c>
      <c r="F99" s="315">
        <f t="shared" ref="F99" si="42">G99+H99+I99+J99</f>
        <v>289235</v>
      </c>
      <c r="G99" s="317">
        <v>0</v>
      </c>
      <c r="H99" s="315">
        <f>21669</f>
        <v>21669</v>
      </c>
      <c r="I99" s="315">
        <f>256958</f>
        <v>256958</v>
      </c>
      <c r="J99" s="315">
        <f>10608</f>
        <v>10608</v>
      </c>
      <c r="K99" s="315">
        <v>289235</v>
      </c>
    </row>
    <row r="100" spans="1:11" s="145" customFormat="1" ht="15.75" customHeight="1">
      <c r="A100" s="308"/>
      <c r="B100" s="221" t="s">
        <v>605</v>
      </c>
      <c r="C100" s="330"/>
      <c r="D100" s="304"/>
      <c r="E100" s="304"/>
      <c r="F100" s="316"/>
      <c r="G100" s="304"/>
      <c r="H100" s="316"/>
      <c r="I100" s="316"/>
      <c r="J100" s="316"/>
      <c r="K100" s="316"/>
    </row>
    <row r="101" spans="1:11" s="145" customFormat="1" ht="14.25" customHeight="1">
      <c r="A101" s="307" t="s">
        <v>496</v>
      </c>
      <c r="B101" s="222" t="s">
        <v>609</v>
      </c>
      <c r="C101" s="322" t="s">
        <v>260</v>
      </c>
      <c r="D101" s="313">
        <v>2017</v>
      </c>
      <c r="E101" s="313">
        <v>2019</v>
      </c>
      <c r="F101" s="315">
        <f t="shared" ref="F101" si="43">G101+H101+I101+J101</f>
        <v>54016</v>
      </c>
      <c r="G101" s="317">
        <v>36269</v>
      </c>
      <c r="H101" s="315">
        <v>17747</v>
      </c>
      <c r="I101" s="315"/>
      <c r="J101" s="315"/>
      <c r="K101" s="315">
        <v>0</v>
      </c>
    </row>
    <row r="102" spans="1:11" s="145" customFormat="1" ht="51" customHeight="1">
      <c r="A102" s="308"/>
      <c r="B102" s="221" t="s">
        <v>610</v>
      </c>
      <c r="C102" s="323"/>
      <c r="D102" s="314"/>
      <c r="E102" s="314"/>
      <c r="F102" s="316"/>
      <c r="G102" s="304"/>
      <c r="H102" s="316"/>
      <c r="I102" s="316"/>
      <c r="J102" s="316"/>
      <c r="K102" s="316"/>
    </row>
    <row r="103" spans="1:11" s="145" customFormat="1" ht="27.75" customHeight="1">
      <c r="A103" s="307" t="s">
        <v>564</v>
      </c>
      <c r="B103" s="222" t="s">
        <v>617</v>
      </c>
      <c r="C103" s="322" t="s">
        <v>260</v>
      </c>
      <c r="D103" s="313">
        <v>2017</v>
      </c>
      <c r="E103" s="313">
        <v>2019</v>
      </c>
      <c r="F103" s="315">
        <f t="shared" ref="F103" si="44">G103+H103+I103+J103</f>
        <v>155292</v>
      </c>
      <c r="G103" s="317">
        <v>99876</v>
      </c>
      <c r="H103" s="315">
        <v>55416</v>
      </c>
      <c r="I103" s="315"/>
      <c r="J103" s="315"/>
      <c r="K103" s="315">
        <v>0</v>
      </c>
    </row>
    <row r="104" spans="1:11" s="145" customFormat="1" ht="30.75" customHeight="1">
      <c r="A104" s="308"/>
      <c r="B104" s="221" t="s">
        <v>618</v>
      </c>
      <c r="C104" s="323"/>
      <c r="D104" s="314"/>
      <c r="E104" s="314"/>
      <c r="F104" s="316"/>
      <c r="G104" s="304"/>
      <c r="H104" s="316"/>
      <c r="I104" s="316"/>
      <c r="J104" s="316"/>
      <c r="K104" s="316"/>
    </row>
    <row r="105" spans="1:11" s="220" customFormat="1" ht="36.75" customHeight="1">
      <c r="A105" s="307" t="s">
        <v>571</v>
      </c>
      <c r="B105" s="219" t="s">
        <v>293</v>
      </c>
      <c r="C105" s="309" t="s">
        <v>260</v>
      </c>
      <c r="D105" s="305">
        <v>2018</v>
      </c>
      <c r="E105" s="305">
        <v>2021</v>
      </c>
      <c r="F105" s="302">
        <f t="shared" ref="F105" si="45">G105+H105+I105+J105</f>
        <v>89938</v>
      </c>
      <c r="G105" s="315">
        <f>0+11111-8200+13572+1482+251</f>
        <v>18216</v>
      </c>
      <c r="H105" s="315">
        <f>955+956+8200+22831+17482+16251</f>
        <v>66675</v>
      </c>
      <c r="I105" s="315">
        <f>916+917+1443+1521+250</f>
        <v>5047</v>
      </c>
      <c r="J105" s="315">
        <v>0</v>
      </c>
      <c r="K105" s="315">
        <f>3744+8200+24274+19003+16501</f>
        <v>71722</v>
      </c>
    </row>
    <row r="106" spans="1:11" s="220" customFormat="1" ht="85.5" customHeight="1">
      <c r="A106" s="308"/>
      <c r="B106" s="221" t="s">
        <v>295</v>
      </c>
      <c r="C106" s="310"/>
      <c r="D106" s="306"/>
      <c r="E106" s="306"/>
      <c r="F106" s="303"/>
      <c r="G106" s="316"/>
      <c r="H106" s="316"/>
      <c r="I106" s="316"/>
      <c r="J106" s="316"/>
      <c r="K106" s="316"/>
    </row>
    <row r="107" spans="1:11" s="227" customFormat="1" ht="25.5" customHeight="1">
      <c r="A107" s="254" t="s">
        <v>312</v>
      </c>
      <c r="B107" s="340" t="s">
        <v>239</v>
      </c>
      <c r="C107" s="341"/>
      <c r="D107" s="341"/>
      <c r="E107" s="342"/>
      <c r="F107" s="226">
        <f t="shared" ref="F107:K107" si="46">SUM(F108:F141)</f>
        <v>90420328</v>
      </c>
      <c r="G107" s="226">
        <f t="shared" si="46"/>
        <v>1913568</v>
      </c>
      <c r="H107" s="226">
        <f t="shared" si="46"/>
        <v>54724608</v>
      </c>
      <c r="I107" s="226">
        <f t="shared" si="46"/>
        <v>31153774</v>
      </c>
      <c r="J107" s="226">
        <f t="shared" si="46"/>
        <v>2628378</v>
      </c>
      <c r="K107" s="226">
        <f t="shared" si="46"/>
        <v>69333206</v>
      </c>
    </row>
    <row r="108" spans="1:11" s="145" customFormat="1" ht="48.75" customHeight="1">
      <c r="A108" s="307" t="s">
        <v>538</v>
      </c>
      <c r="B108" s="219" t="s">
        <v>274</v>
      </c>
      <c r="C108" s="309" t="s">
        <v>260</v>
      </c>
      <c r="D108" s="328">
        <v>2017</v>
      </c>
      <c r="E108" s="333">
        <v>2020</v>
      </c>
      <c r="F108" s="302">
        <f t="shared" ref="F108:F134" si="47">G108+H108+I108+J108</f>
        <v>492000</v>
      </c>
      <c r="G108" s="317">
        <v>0</v>
      </c>
      <c r="H108" s="302">
        <v>492000</v>
      </c>
      <c r="I108" s="302">
        <v>0</v>
      </c>
      <c r="J108" s="302">
        <v>0</v>
      </c>
      <c r="K108" s="302">
        <v>492000</v>
      </c>
    </row>
    <row r="109" spans="1:11" s="145" customFormat="1" ht="28.5" customHeight="1">
      <c r="A109" s="308"/>
      <c r="B109" s="221" t="s">
        <v>570</v>
      </c>
      <c r="C109" s="310"/>
      <c r="D109" s="304"/>
      <c r="E109" s="334"/>
      <c r="F109" s="303"/>
      <c r="G109" s="304"/>
      <c r="H109" s="303"/>
      <c r="I109" s="303"/>
      <c r="J109" s="303"/>
      <c r="K109" s="303"/>
    </row>
    <row r="110" spans="1:11" s="220" customFormat="1" ht="23.25" customHeight="1">
      <c r="A110" s="307" t="s">
        <v>539</v>
      </c>
      <c r="B110" s="222" t="s">
        <v>323</v>
      </c>
      <c r="C110" s="320" t="s">
        <v>260</v>
      </c>
      <c r="D110" s="285">
        <v>2017</v>
      </c>
      <c r="E110" s="285">
        <v>2019</v>
      </c>
      <c r="F110" s="302">
        <f t="shared" si="47"/>
        <v>165518</v>
      </c>
      <c r="G110" s="315">
        <v>5190</v>
      </c>
      <c r="H110" s="302">
        <f>0+160328</f>
        <v>160328</v>
      </c>
      <c r="I110" s="302">
        <v>0</v>
      </c>
      <c r="J110" s="302">
        <v>0</v>
      </c>
      <c r="K110" s="315">
        <v>0</v>
      </c>
    </row>
    <row r="111" spans="1:11" s="220" customFormat="1" ht="31.5" customHeight="1">
      <c r="A111" s="308"/>
      <c r="B111" s="221" t="s">
        <v>482</v>
      </c>
      <c r="C111" s="321"/>
      <c r="D111" s="304"/>
      <c r="E111" s="304"/>
      <c r="F111" s="303"/>
      <c r="G111" s="316"/>
      <c r="H111" s="303"/>
      <c r="I111" s="303"/>
      <c r="J111" s="303"/>
      <c r="K111" s="316"/>
    </row>
    <row r="112" spans="1:11" s="220" customFormat="1" ht="16.5" customHeight="1">
      <c r="A112" s="307" t="s">
        <v>313</v>
      </c>
      <c r="B112" s="222" t="s">
        <v>321</v>
      </c>
      <c r="C112" s="320" t="s">
        <v>260</v>
      </c>
      <c r="D112" s="285">
        <v>2017</v>
      </c>
      <c r="E112" s="285">
        <v>2019</v>
      </c>
      <c r="F112" s="302">
        <f t="shared" si="47"/>
        <v>424725</v>
      </c>
      <c r="G112" s="315">
        <v>5190</v>
      </c>
      <c r="H112" s="302">
        <f>0+419535</f>
        <v>419535</v>
      </c>
      <c r="I112" s="302">
        <v>0</v>
      </c>
      <c r="J112" s="302">
        <v>0</v>
      </c>
      <c r="K112" s="315">
        <v>0</v>
      </c>
    </row>
    <row r="113" spans="1:11" s="220" customFormat="1" ht="33" customHeight="1">
      <c r="A113" s="308"/>
      <c r="B113" s="221" t="s">
        <v>482</v>
      </c>
      <c r="C113" s="321"/>
      <c r="D113" s="304"/>
      <c r="E113" s="304"/>
      <c r="F113" s="303"/>
      <c r="G113" s="316"/>
      <c r="H113" s="303"/>
      <c r="I113" s="303"/>
      <c r="J113" s="303"/>
      <c r="K113" s="316"/>
    </row>
    <row r="114" spans="1:11" s="145" customFormat="1" ht="21" customHeight="1">
      <c r="A114" s="307" t="s">
        <v>314</v>
      </c>
      <c r="B114" s="222" t="s">
        <v>325</v>
      </c>
      <c r="C114" s="309" t="s">
        <v>260</v>
      </c>
      <c r="D114" s="285">
        <v>2013</v>
      </c>
      <c r="E114" s="285">
        <v>2019</v>
      </c>
      <c r="F114" s="302">
        <f t="shared" si="47"/>
        <v>10160132</v>
      </c>
      <c r="G114" s="317">
        <f>93997+8610-8610</f>
        <v>93997</v>
      </c>
      <c r="H114" s="302">
        <f>7915981+350154+1800000</f>
        <v>10066135</v>
      </c>
      <c r="I114" s="302">
        <v>0</v>
      </c>
      <c r="J114" s="302">
        <v>0</v>
      </c>
      <c r="K114" s="315">
        <f>0</f>
        <v>0</v>
      </c>
    </row>
    <row r="115" spans="1:11" s="145" customFormat="1" ht="21.75" customHeight="1">
      <c r="A115" s="308"/>
      <c r="B115" s="221" t="s">
        <v>326</v>
      </c>
      <c r="C115" s="310"/>
      <c r="D115" s="304"/>
      <c r="E115" s="304"/>
      <c r="F115" s="303"/>
      <c r="G115" s="304"/>
      <c r="H115" s="303"/>
      <c r="I115" s="303"/>
      <c r="J115" s="303"/>
      <c r="K115" s="316"/>
    </row>
    <row r="116" spans="1:11" s="145" customFormat="1" ht="12.75" customHeight="1">
      <c r="A116" s="307" t="s">
        <v>540</v>
      </c>
      <c r="B116" s="222" t="s">
        <v>598</v>
      </c>
      <c r="C116" s="309" t="s">
        <v>260</v>
      </c>
      <c r="D116" s="285">
        <v>2017</v>
      </c>
      <c r="E116" s="285">
        <v>2019</v>
      </c>
      <c r="F116" s="302">
        <f t="shared" si="47"/>
        <v>310700</v>
      </c>
      <c r="G116" s="317">
        <f>0+5200</f>
        <v>5200</v>
      </c>
      <c r="H116" s="302">
        <f>0+305500</f>
        <v>305500</v>
      </c>
      <c r="I116" s="302">
        <v>0</v>
      </c>
      <c r="J116" s="302">
        <v>0</v>
      </c>
      <c r="K116" s="315">
        <v>0</v>
      </c>
    </row>
    <row r="117" spans="1:11" s="145" customFormat="1" ht="28.5" customHeight="1">
      <c r="A117" s="308"/>
      <c r="B117" s="221" t="s">
        <v>482</v>
      </c>
      <c r="C117" s="310"/>
      <c r="D117" s="304"/>
      <c r="E117" s="304"/>
      <c r="F117" s="303"/>
      <c r="G117" s="304"/>
      <c r="H117" s="303"/>
      <c r="I117" s="303"/>
      <c r="J117" s="303"/>
      <c r="K117" s="316"/>
    </row>
    <row r="118" spans="1:11" s="145" customFormat="1" ht="33.75" customHeight="1">
      <c r="A118" s="307" t="s">
        <v>318</v>
      </c>
      <c r="B118" s="222" t="s">
        <v>327</v>
      </c>
      <c r="C118" s="329" t="s">
        <v>316</v>
      </c>
      <c r="D118" s="285">
        <v>2015</v>
      </c>
      <c r="E118" s="285">
        <v>2019</v>
      </c>
      <c r="F118" s="302">
        <f t="shared" si="47"/>
        <v>1795572</v>
      </c>
      <c r="G118" s="317">
        <f>48585+17361-800</f>
        <v>65146</v>
      </c>
      <c r="H118" s="315">
        <f>953795+619031+157600</f>
        <v>1730426</v>
      </c>
      <c r="I118" s="315">
        <v>0</v>
      </c>
      <c r="J118" s="315">
        <v>0</v>
      </c>
      <c r="K118" s="315">
        <f>0</f>
        <v>0</v>
      </c>
    </row>
    <row r="119" spans="1:11" s="145" customFormat="1" ht="33" customHeight="1">
      <c r="A119" s="308"/>
      <c r="B119" s="221" t="s">
        <v>328</v>
      </c>
      <c r="C119" s="330"/>
      <c r="D119" s="304"/>
      <c r="E119" s="304"/>
      <c r="F119" s="303"/>
      <c r="G119" s="304"/>
      <c r="H119" s="316"/>
      <c r="I119" s="316"/>
      <c r="J119" s="316"/>
      <c r="K119" s="316"/>
    </row>
    <row r="120" spans="1:11" s="145" customFormat="1" ht="28.5" customHeight="1">
      <c r="A120" s="307" t="s">
        <v>319</v>
      </c>
      <c r="B120" s="222" t="s">
        <v>329</v>
      </c>
      <c r="C120" s="309" t="s">
        <v>260</v>
      </c>
      <c r="D120" s="285">
        <v>2017</v>
      </c>
      <c r="E120" s="285">
        <v>2020</v>
      </c>
      <c r="F120" s="302">
        <f t="shared" si="47"/>
        <v>11975263</v>
      </c>
      <c r="G120" s="317">
        <f>93468</f>
        <v>93468</v>
      </c>
      <c r="H120" s="302">
        <f>5842535+1839260+4200000-4600000</f>
        <v>7281795</v>
      </c>
      <c r="I120" s="302">
        <f>0+4600000</f>
        <v>4600000</v>
      </c>
      <c r="J120" s="302">
        <v>0</v>
      </c>
      <c r="K120" s="315">
        <f>0+11881795</f>
        <v>11881795</v>
      </c>
    </row>
    <row r="121" spans="1:11" s="145" customFormat="1" ht="31.5" customHeight="1">
      <c r="A121" s="308"/>
      <c r="B121" s="221" t="s">
        <v>483</v>
      </c>
      <c r="C121" s="310"/>
      <c r="D121" s="304"/>
      <c r="E121" s="304"/>
      <c r="F121" s="303"/>
      <c r="G121" s="304"/>
      <c r="H121" s="303"/>
      <c r="I121" s="303"/>
      <c r="J121" s="303"/>
      <c r="K121" s="316"/>
    </row>
    <row r="122" spans="1:11" s="145" customFormat="1" ht="20.25" customHeight="1">
      <c r="A122" s="307" t="s">
        <v>541</v>
      </c>
      <c r="B122" s="222" t="s">
        <v>498</v>
      </c>
      <c r="C122" s="329" t="s">
        <v>260</v>
      </c>
      <c r="D122" s="285">
        <v>2016</v>
      </c>
      <c r="E122" s="285">
        <v>2020</v>
      </c>
      <c r="F122" s="302">
        <f t="shared" si="47"/>
        <v>18201602</v>
      </c>
      <c r="G122" s="317">
        <f>12124</f>
        <v>12124</v>
      </c>
      <c r="H122" s="302">
        <f>3922468+5180000</f>
        <v>9102468</v>
      </c>
      <c r="I122" s="302">
        <f>3907010+5180000</f>
        <v>9087010</v>
      </c>
      <c r="J122" s="302">
        <v>0</v>
      </c>
      <c r="K122" s="302">
        <f>7829478+10360000</f>
        <v>18189478</v>
      </c>
    </row>
    <row r="123" spans="1:11" s="145" customFormat="1" ht="15" customHeight="1">
      <c r="A123" s="308"/>
      <c r="B123" s="221" t="s">
        <v>484</v>
      </c>
      <c r="C123" s="330"/>
      <c r="D123" s="304"/>
      <c r="E123" s="304"/>
      <c r="F123" s="303"/>
      <c r="G123" s="304"/>
      <c r="H123" s="303"/>
      <c r="I123" s="303"/>
      <c r="J123" s="303"/>
      <c r="K123" s="303"/>
    </row>
    <row r="124" spans="1:11" s="145" customFormat="1" ht="18" customHeight="1">
      <c r="A124" s="307" t="s">
        <v>542</v>
      </c>
      <c r="B124" s="222" t="s">
        <v>599</v>
      </c>
      <c r="C124" s="329" t="s">
        <v>260</v>
      </c>
      <c r="D124" s="285">
        <v>2016</v>
      </c>
      <c r="E124" s="285">
        <v>2019</v>
      </c>
      <c r="F124" s="302">
        <f t="shared" si="47"/>
        <v>3875356</v>
      </c>
      <c r="G124" s="317">
        <f>86134+118450-100000-34</f>
        <v>104550</v>
      </c>
      <c r="H124" s="315">
        <f>3670806+100000</f>
        <v>3770806</v>
      </c>
      <c r="I124" s="315">
        <v>0</v>
      </c>
      <c r="J124" s="315">
        <v>0</v>
      </c>
      <c r="K124" s="315">
        <v>0</v>
      </c>
    </row>
    <row r="125" spans="1:11" s="145" customFormat="1" ht="14.25" customHeight="1">
      <c r="A125" s="308"/>
      <c r="B125" s="221" t="s">
        <v>600</v>
      </c>
      <c r="C125" s="330"/>
      <c r="D125" s="304"/>
      <c r="E125" s="304"/>
      <c r="F125" s="303"/>
      <c r="G125" s="304"/>
      <c r="H125" s="316"/>
      <c r="I125" s="316"/>
      <c r="J125" s="316"/>
      <c r="K125" s="316"/>
    </row>
    <row r="126" spans="1:11" s="223" customFormat="1" ht="18" customHeight="1">
      <c r="A126" s="307" t="s">
        <v>320</v>
      </c>
      <c r="B126" s="222" t="s">
        <v>266</v>
      </c>
      <c r="C126" s="309" t="s">
        <v>260</v>
      </c>
      <c r="D126" s="285">
        <v>2018</v>
      </c>
      <c r="E126" s="285">
        <v>2019</v>
      </c>
      <c r="F126" s="302">
        <f t="shared" si="47"/>
        <v>1595089</v>
      </c>
      <c r="G126" s="317">
        <v>0</v>
      </c>
      <c r="H126" s="302">
        <f>0+1555089+40000</f>
        <v>1595089</v>
      </c>
      <c r="I126" s="302">
        <v>0</v>
      </c>
      <c r="J126" s="302">
        <v>0</v>
      </c>
      <c r="K126" s="302">
        <v>0</v>
      </c>
    </row>
    <row r="127" spans="1:11" s="223" customFormat="1" ht="28.5" customHeight="1">
      <c r="A127" s="308"/>
      <c r="B127" s="221" t="s">
        <v>267</v>
      </c>
      <c r="C127" s="310"/>
      <c r="D127" s="304"/>
      <c r="E127" s="304"/>
      <c r="F127" s="303"/>
      <c r="G127" s="304"/>
      <c r="H127" s="303"/>
      <c r="I127" s="303"/>
      <c r="J127" s="303"/>
      <c r="K127" s="303"/>
    </row>
    <row r="128" spans="1:11" s="145" customFormat="1" ht="14.25" customHeight="1">
      <c r="A128" s="307" t="s">
        <v>322</v>
      </c>
      <c r="B128" s="222" t="s">
        <v>373</v>
      </c>
      <c r="C128" s="329" t="s">
        <v>260</v>
      </c>
      <c r="D128" s="285">
        <v>2015</v>
      </c>
      <c r="E128" s="285">
        <v>2021</v>
      </c>
      <c r="F128" s="315">
        <f t="shared" si="47"/>
        <v>22901924</v>
      </c>
      <c r="G128" s="317">
        <f>0+155000+66219+14499+67708</f>
        <v>303426</v>
      </c>
      <c r="H128" s="315">
        <f>13797733+290000-5005212+4250000-1867370</f>
        <v>11465151</v>
      </c>
      <c r="I128" s="315">
        <f>0+4955212+4550000+1184170</f>
        <v>10689382</v>
      </c>
      <c r="J128" s="315">
        <f>0+50000+393965</f>
        <v>443965</v>
      </c>
      <c r="K128" s="315">
        <f>14087733+8800000-289235</f>
        <v>22598498</v>
      </c>
    </row>
    <row r="129" spans="1:11" s="145" customFormat="1" ht="14.25" customHeight="1">
      <c r="A129" s="308"/>
      <c r="B129" s="221" t="s">
        <v>374</v>
      </c>
      <c r="C129" s="330"/>
      <c r="D129" s="304"/>
      <c r="E129" s="304"/>
      <c r="F129" s="316"/>
      <c r="G129" s="304"/>
      <c r="H129" s="316"/>
      <c r="I129" s="316"/>
      <c r="J129" s="316"/>
      <c r="K129" s="316"/>
    </row>
    <row r="130" spans="1:11" s="220" customFormat="1" ht="16.5" customHeight="1">
      <c r="A130" s="307" t="s">
        <v>543</v>
      </c>
      <c r="B130" s="219" t="s">
        <v>526</v>
      </c>
      <c r="C130" s="326" t="s">
        <v>260</v>
      </c>
      <c r="D130" s="305">
        <v>2018</v>
      </c>
      <c r="E130" s="328">
        <v>2019</v>
      </c>
      <c r="F130" s="302">
        <f t="shared" si="47"/>
        <v>184626</v>
      </c>
      <c r="G130" s="315">
        <f>8000</f>
        <v>8000</v>
      </c>
      <c r="H130" s="315">
        <f>189666-13040</f>
        <v>176626</v>
      </c>
      <c r="I130" s="315">
        <v>0</v>
      </c>
      <c r="J130" s="315">
        <v>0</v>
      </c>
      <c r="K130" s="315">
        <v>0</v>
      </c>
    </row>
    <row r="131" spans="1:11" s="220" customFormat="1" ht="15.75" customHeight="1">
      <c r="A131" s="308"/>
      <c r="B131" s="221" t="s">
        <v>527</v>
      </c>
      <c r="C131" s="327"/>
      <c r="D131" s="306"/>
      <c r="E131" s="304"/>
      <c r="F131" s="303"/>
      <c r="G131" s="316"/>
      <c r="H131" s="316"/>
      <c r="I131" s="316"/>
      <c r="J131" s="316"/>
      <c r="K131" s="316"/>
    </row>
    <row r="132" spans="1:11" s="223" customFormat="1" ht="30.75" customHeight="1">
      <c r="A132" s="307" t="s">
        <v>544</v>
      </c>
      <c r="B132" s="222" t="s">
        <v>315</v>
      </c>
      <c r="C132" s="329" t="s">
        <v>316</v>
      </c>
      <c r="D132" s="285">
        <v>2015</v>
      </c>
      <c r="E132" s="285">
        <v>2020</v>
      </c>
      <c r="F132" s="302">
        <f t="shared" si="47"/>
        <v>6328212</v>
      </c>
      <c r="G132" s="317">
        <f>169981+33091-4502</f>
        <v>198570</v>
      </c>
      <c r="H132" s="315">
        <f>0+3189122+1000000+1940520-2774430</f>
        <v>3355212</v>
      </c>
      <c r="I132" s="315">
        <f>0+2774430</f>
        <v>2774430</v>
      </c>
      <c r="J132" s="315">
        <v>0</v>
      </c>
      <c r="K132" s="315">
        <f>0+6129642</f>
        <v>6129642</v>
      </c>
    </row>
    <row r="133" spans="1:11" s="223" customFormat="1" ht="15.75" customHeight="1">
      <c r="A133" s="308"/>
      <c r="B133" s="221" t="s">
        <v>317</v>
      </c>
      <c r="C133" s="330"/>
      <c r="D133" s="304"/>
      <c r="E133" s="304"/>
      <c r="F133" s="303"/>
      <c r="G133" s="304"/>
      <c r="H133" s="316"/>
      <c r="I133" s="316"/>
      <c r="J133" s="316"/>
      <c r="K133" s="316"/>
    </row>
    <row r="134" spans="1:11" s="220" customFormat="1" ht="18" customHeight="1">
      <c r="A134" s="307" t="s">
        <v>545</v>
      </c>
      <c r="B134" s="222" t="s">
        <v>284</v>
      </c>
      <c r="C134" s="309" t="s">
        <v>260</v>
      </c>
      <c r="D134" s="285">
        <v>2018</v>
      </c>
      <c r="E134" s="285">
        <v>2019</v>
      </c>
      <c r="F134" s="302">
        <f t="shared" si="47"/>
        <v>374992</v>
      </c>
      <c r="G134" s="315">
        <f>57100-36100+4559</f>
        <v>25559</v>
      </c>
      <c r="H134" s="302">
        <f>569544-225093-50000+36100+18882</f>
        <v>349433</v>
      </c>
      <c r="I134" s="302">
        <v>0</v>
      </c>
      <c r="J134" s="302">
        <v>0</v>
      </c>
      <c r="K134" s="302">
        <v>0</v>
      </c>
    </row>
    <row r="135" spans="1:11" s="220" customFormat="1" ht="42" customHeight="1">
      <c r="A135" s="308"/>
      <c r="B135" s="221" t="s">
        <v>324</v>
      </c>
      <c r="C135" s="310"/>
      <c r="D135" s="304"/>
      <c r="E135" s="304"/>
      <c r="F135" s="303"/>
      <c r="G135" s="316"/>
      <c r="H135" s="303"/>
      <c r="I135" s="303"/>
      <c r="J135" s="303"/>
      <c r="K135" s="303"/>
    </row>
    <row r="136" spans="1:11" s="220" customFormat="1" ht="18" customHeight="1">
      <c r="A136" s="307" t="s">
        <v>546</v>
      </c>
      <c r="B136" s="222" t="s">
        <v>577</v>
      </c>
      <c r="C136" s="309" t="s">
        <v>260</v>
      </c>
      <c r="D136" s="285">
        <v>2018</v>
      </c>
      <c r="E136" s="285">
        <v>2019</v>
      </c>
      <c r="F136" s="302">
        <f t="shared" ref="F136" si="48">G136+H136+I136+J136</f>
        <v>697322</v>
      </c>
      <c r="G136" s="315">
        <f>594830-2</f>
        <v>594828</v>
      </c>
      <c r="H136" s="302">
        <v>102494</v>
      </c>
      <c r="I136" s="302">
        <v>0</v>
      </c>
      <c r="J136" s="302">
        <v>0</v>
      </c>
      <c r="K136" s="302">
        <f>697324-697324</f>
        <v>0</v>
      </c>
    </row>
    <row r="137" spans="1:11" s="220" customFormat="1" ht="42" customHeight="1">
      <c r="A137" s="308"/>
      <c r="B137" s="221" t="s">
        <v>606</v>
      </c>
      <c r="C137" s="310"/>
      <c r="D137" s="304"/>
      <c r="E137" s="304"/>
      <c r="F137" s="303"/>
      <c r="G137" s="316"/>
      <c r="H137" s="303"/>
      <c r="I137" s="303"/>
      <c r="J137" s="303"/>
      <c r="K137" s="303"/>
    </row>
    <row r="138" spans="1:11" s="220" customFormat="1" ht="16.5" customHeight="1">
      <c r="A138" s="307" t="s">
        <v>578</v>
      </c>
      <c r="B138" s="222" t="s">
        <v>580</v>
      </c>
      <c r="C138" s="320" t="s">
        <v>260</v>
      </c>
      <c r="D138" s="285">
        <v>2016</v>
      </c>
      <c r="E138" s="285">
        <v>2019</v>
      </c>
      <c r="F138" s="302">
        <f>G138+H138+I138+J138</f>
        <v>687851</v>
      </c>
      <c r="G138" s="315">
        <f>25138+702344-497182-39631</f>
        <v>190669</v>
      </c>
      <c r="H138" s="302">
        <v>497182</v>
      </c>
      <c r="I138" s="302">
        <v>0</v>
      </c>
      <c r="J138" s="302">
        <v>0</v>
      </c>
      <c r="K138" s="302">
        <v>0</v>
      </c>
    </row>
    <row r="139" spans="1:11" s="220" customFormat="1" ht="27" customHeight="1">
      <c r="A139" s="308"/>
      <c r="B139" s="221" t="s">
        <v>482</v>
      </c>
      <c r="C139" s="321"/>
      <c r="D139" s="304"/>
      <c r="E139" s="304"/>
      <c r="F139" s="303"/>
      <c r="G139" s="316"/>
      <c r="H139" s="303"/>
      <c r="I139" s="303"/>
      <c r="J139" s="303"/>
      <c r="K139" s="303"/>
    </row>
    <row r="140" spans="1:11" s="220" customFormat="1" ht="16.5" customHeight="1">
      <c r="A140" s="307" t="s">
        <v>581</v>
      </c>
      <c r="B140" s="222" t="s">
        <v>582</v>
      </c>
      <c r="C140" s="320" t="s">
        <v>260</v>
      </c>
      <c r="D140" s="285">
        <v>2016</v>
      </c>
      <c r="E140" s="285">
        <v>2021</v>
      </c>
      <c r="F140" s="315">
        <f>G140+H140+I140+J140</f>
        <v>10249444</v>
      </c>
      <c r="G140" s="315">
        <f>10947548-10947548+207651</f>
        <v>207651</v>
      </c>
      <c r="H140" s="315">
        <f>0+4376190-521762</f>
        <v>3854428</v>
      </c>
      <c r="I140" s="315">
        <f>0+4376190-373238</f>
        <v>4002952</v>
      </c>
      <c r="J140" s="315">
        <f>0+2184413</f>
        <v>2184413</v>
      </c>
      <c r="K140" s="315">
        <v>10041793</v>
      </c>
    </row>
    <row r="141" spans="1:11" s="220" customFormat="1" ht="17.25" customHeight="1">
      <c r="A141" s="308"/>
      <c r="B141" s="221" t="s">
        <v>583</v>
      </c>
      <c r="C141" s="321"/>
      <c r="D141" s="304"/>
      <c r="E141" s="304"/>
      <c r="F141" s="316"/>
      <c r="G141" s="316"/>
      <c r="H141" s="316"/>
      <c r="I141" s="316"/>
      <c r="J141" s="316"/>
      <c r="K141" s="316"/>
    </row>
    <row r="142" spans="1:11" s="224" customFormat="1" ht="18" customHeight="1">
      <c r="A142" s="228" t="s">
        <v>14</v>
      </c>
      <c r="B142" s="359" t="s">
        <v>330</v>
      </c>
      <c r="C142" s="360"/>
      <c r="D142" s="360"/>
      <c r="E142" s="361"/>
      <c r="F142" s="229">
        <f t="shared" ref="F142:J142" si="49">SUM(F143:F144)</f>
        <v>0</v>
      </c>
      <c r="G142" s="229">
        <f t="shared" si="49"/>
        <v>0</v>
      </c>
      <c r="H142" s="229">
        <f t="shared" si="49"/>
        <v>0</v>
      </c>
      <c r="I142" s="229">
        <f t="shared" si="49"/>
        <v>0</v>
      </c>
      <c r="J142" s="229">
        <f t="shared" si="49"/>
        <v>0</v>
      </c>
      <c r="K142" s="229" t="s">
        <v>331</v>
      </c>
    </row>
    <row r="143" spans="1:11" s="230" customFormat="1" ht="15.75" customHeight="1">
      <c r="A143" s="228" t="s">
        <v>15</v>
      </c>
      <c r="B143" s="339" t="s">
        <v>237</v>
      </c>
      <c r="C143" s="339"/>
      <c r="D143" s="339"/>
      <c r="E143" s="339"/>
      <c r="F143" s="226">
        <v>0</v>
      </c>
      <c r="G143" s="226"/>
      <c r="H143" s="226">
        <v>0</v>
      </c>
      <c r="I143" s="226">
        <v>0</v>
      </c>
      <c r="J143" s="226">
        <v>0</v>
      </c>
      <c r="K143" s="226">
        <v>0</v>
      </c>
    </row>
    <row r="144" spans="1:11" s="230" customFormat="1" ht="19.5" customHeight="1">
      <c r="A144" s="228" t="s">
        <v>332</v>
      </c>
      <c r="B144" s="340" t="s">
        <v>239</v>
      </c>
      <c r="C144" s="341"/>
      <c r="D144" s="341"/>
      <c r="E144" s="342"/>
      <c r="F144" s="226">
        <v>0</v>
      </c>
      <c r="G144" s="226"/>
      <c r="H144" s="226">
        <v>0</v>
      </c>
      <c r="I144" s="226">
        <v>0</v>
      </c>
      <c r="J144" s="226">
        <v>0</v>
      </c>
      <c r="K144" s="226">
        <v>0</v>
      </c>
    </row>
    <row r="145" spans="1:11" s="231" customFormat="1" ht="19.5" customHeight="1">
      <c r="A145" s="228" t="s">
        <v>333</v>
      </c>
      <c r="B145" s="338" t="s">
        <v>334</v>
      </c>
      <c r="C145" s="338"/>
      <c r="D145" s="338"/>
      <c r="E145" s="338"/>
      <c r="F145" s="229">
        <f>SUM(F146:F147)</f>
        <v>125314808.84</v>
      </c>
      <c r="G145" s="229">
        <f t="shared" ref="G145:K145" si="50">SUM(G146:G147)</f>
        <v>72827160.840000004</v>
      </c>
      <c r="H145" s="229">
        <f>SUM(H146:H147)</f>
        <v>45294348</v>
      </c>
      <c r="I145" s="229">
        <f>SUM(I146:I147)</f>
        <v>7193300</v>
      </c>
      <c r="J145" s="229">
        <f>SUM(J146:J147)</f>
        <v>0</v>
      </c>
      <c r="K145" s="229">
        <f t="shared" si="50"/>
        <v>16044351</v>
      </c>
    </row>
    <row r="146" spans="1:11" s="230" customFormat="1" ht="16.5" customHeight="1">
      <c r="A146" s="228" t="s">
        <v>335</v>
      </c>
      <c r="B146" s="339" t="s">
        <v>237</v>
      </c>
      <c r="C146" s="339"/>
      <c r="D146" s="339"/>
      <c r="E146" s="339"/>
      <c r="F146" s="226">
        <v>0</v>
      </c>
      <c r="G146" s="226">
        <v>0</v>
      </c>
      <c r="H146" s="226">
        <v>0</v>
      </c>
      <c r="I146" s="226">
        <v>0</v>
      </c>
      <c r="J146" s="226">
        <v>0</v>
      </c>
      <c r="K146" s="226">
        <v>0</v>
      </c>
    </row>
    <row r="147" spans="1:11" s="227" customFormat="1" ht="18.75" customHeight="1">
      <c r="A147" s="225" t="s">
        <v>336</v>
      </c>
      <c r="B147" s="340" t="s">
        <v>239</v>
      </c>
      <c r="C147" s="341"/>
      <c r="D147" s="341"/>
      <c r="E147" s="342"/>
      <c r="F147" s="226">
        <f>SUM(F148:F273)</f>
        <v>125314808.84</v>
      </c>
      <c r="G147" s="226">
        <f t="shared" ref="G147:K147" si="51">SUM(G148:G273)</f>
        <v>72827160.840000004</v>
      </c>
      <c r="H147" s="226">
        <f t="shared" si="51"/>
        <v>45294348</v>
      </c>
      <c r="I147" s="226">
        <f t="shared" si="51"/>
        <v>7193300</v>
      </c>
      <c r="J147" s="226">
        <f t="shared" si="51"/>
        <v>0</v>
      </c>
      <c r="K147" s="226">
        <f t="shared" si="51"/>
        <v>16044351</v>
      </c>
    </row>
    <row r="148" spans="1:11" s="145" customFormat="1" ht="19.5" customHeight="1">
      <c r="A148" s="262" t="s">
        <v>337</v>
      </c>
      <c r="B148" s="222" t="s">
        <v>338</v>
      </c>
      <c r="C148" s="309" t="s">
        <v>260</v>
      </c>
      <c r="D148" s="337">
        <v>2003</v>
      </c>
      <c r="E148" s="337">
        <v>2020</v>
      </c>
      <c r="F148" s="302">
        <f t="shared" ref="F148:F210" si="52">G148+H148+I148+J148</f>
        <v>5819558</v>
      </c>
      <c r="G148" s="324">
        <f>2626533+432986-2+566685+317896-9000+345913+404837+123800-209000-90+619000</f>
        <v>5219558</v>
      </c>
      <c r="H148" s="317">
        <v>300000</v>
      </c>
      <c r="I148" s="317">
        <v>300000</v>
      </c>
      <c r="J148" s="315">
        <v>0</v>
      </c>
      <c r="K148" s="315">
        <v>600000</v>
      </c>
    </row>
    <row r="149" spans="1:11" s="145" customFormat="1" ht="26.25" customHeight="1">
      <c r="A149" s="262"/>
      <c r="B149" s="221" t="s">
        <v>339</v>
      </c>
      <c r="C149" s="310"/>
      <c r="D149" s="337"/>
      <c r="E149" s="337"/>
      <c r="F149" s="303"/>
      <c r="G149" s="324"/>
      <c r="H149" s="317"/>
      <c r="I149" s="317"/>
      <c r="J149" s="316"/>
      <c r="K149" s="316"/>
    </row>
    <row r="150" spans="1:11" s="145" customFormat="1" ht="21" customHeight="1">
      <c r="A150" s="262" t="s">
        <v>340</v>
      </c>
      <c r="B150" s="222" t="s">
        <v>341</v>
      </c>
      <c r="C150" s="309" t="s">
        <v>260</v>
      </c>
      <c r="D150" s="337">
        <v>2011</v>
      </c>
      <c r="E150" s="337">
        <v>2019</v>
      </c>
      <c r="F150" s="302">
        <f t="shared" si="52"/>
        <v>2583408.84</v>
      </c>
      <c r="G150" s="324">
        <f>47890+36830+7238-7238+828+1317746+960925.84+77689+61500+56580</f>
        <v>2559988.84</v>
      </c>
      <c r="H150" s="336">
        <f>0+23420</f>
        <v>23420</v>
      </c>
      <c r="I150" s="336">
        <v>0</v>
      </c>
      <c r="J150" s="302">
        <v>0</v>
      </c>
      <c r="K150" s="302">
        <f>18500+4920-23420</f>
        <v>0</v>
      </c>
    </row>
    <row r="151" spans="1:11" s="145" customFormat="1" ht="16.5" customHeight="1">
      <c r="A151" s="262"/>
      <c r="B151" s="221" t="s">
        <v>342</v>
      </c>
      <c r="C151" s="310"/>
      <c r="D151" s="337"/>
      <c r="E151" s="337"/>
      <c r="F151" s="303"/>
      <c r="G151" s="324"/>
      <c r="H151" s="336"/>
      <c r="I151" s="336"/>
      <c r="J151" s="303"/>
      <c r="K151" s="303"/>
    </row>
    <row r="152" spans="1:11" s="145" customFormat="1" ht="16.5" customHeight="1">
      <c r="A152" s="262" t="s">
        <v>343</v>
      </c>
      <c r="B152" s="222" t="s">
        <v>344</v>
      </c>
      <c r="C152" s="335" t="s">
        <v>345</v>
      </c>
      <c r="D152" s="285">
        <v>2005</v>
      </c>
      <c r="E152" s="285">
        <v>2019</v>
      </c>
      <c r="F152" s="302">
        <f t="shared" si="52"/>
        <v>6451198</v>
      </c>
      <c r="G152" s="324">
        <f>1265040+300000+233125+2117850+1859129+290305+64933+241000-184</f>
        <v>6371198</v>
      </c>
      <c r="H152" s="317">
        <v>80000</v>
      </c>
      <c r="I152" s="317">
        <v>0</v>
      </c>
      <c r="J152" s="315">
        <v>0</v>
      </c>
      <c r="K152" s="315">
        <f>80000-80000</f>
        <v>0</v>
      </c>
    </row>
    <row r="153" spans="1:11" s="145" customFormat="1" ht="19.5" customHeight="1">
      <c r="A153" s="262"/>
      <c r="B153" s="221" t="s">
        <v>346</v>
      </c>
      <c r="C153" s="335"/>
      <c r="D153" s="285"/>
      <c r="E153" s="285"/>
      <c r="F153" s="303"/>
      <c r="G153" s="324"/>
      <c r="H153" s="317"/>
      <c r="I153" s="317"/>
      <c r="J153" s="316"/>
      <c r="K153" s="316"/>
    </row>
    <row r="154" spans="1:11" s="145" customFormat="1" ht="21" customHeight="1">
      <c r="A154" s="262" t="s">
        <v>347</v>
      </c>
      <c r="B154" s="222" t="s">
        <v>461</v>
      </c>
      <c r="C154" s="335" t="s">
        <v>316</v>
      </c>
      <c r="D154" s="285">
        <v>2011</v>
      </c>
      <c r="E154" s="285">
        <v>2020</v>
      </c>
      <c r="F154" s="302">
        <f t="shared" si="52"/>
        <v>3398451</v>
      </c>
      <c r="G154" s="324">
        <f>23166+54395-54395+78585+0+0+683300-3300</f>
        <v>781751</v>
      </c>
      <c r="H154" s="315">
        <f>0+400000</f>
        <v>400000</v>
      </c>
      <c r="I154" s="315">
        <f>2700000-83300-400000</f>
        <v>2216700</v>
      </c>
      <c r="J154" s="315">
        <v>0</v>
      </c>
      <c r="K154" s="315">
        <f>3700000-683300-400000</f>
        <v>2616700</v>
      </c>
    </row>
    <row r="155" spans="1:11" s="145" customFormat="1" ht="28.5" customHeight="1">
      <c r="A155" s="262"/>
      <c r="B155" s="246" t="s">
        <v>462</v>
      </c>
      <c r="C155" s="335"/>
      <c r="D155" s="304"/>
      <c r="E155" s="304"/>
      <c r="F155" s="303"/>
      <c r="G155" s="325"/>
      <c r="H155" s="316"/>
      <c r="I155" s="316"/>
      <c r="J155" s="316"/>
      <c r="K155" s="316"/>
    </row>
    <row r="156" spans="1:11" s="145" customFormat="1" ht="12.75">
      <c r="A156" s="262" t="s">
        <v>348</v>
      </c>
      <c r="B156" s="222" t="s">
        <v>349</v>
      </c>
      <c r="C156" s="329" t="s">
        <v>260</v>
      </c>
      <c r="D156" s="285">
        <v>2011</v>
      </c>
      <c r="E156" s="285">
        <v>2019</v>
      </c>
      <c r="F156" s="302">
        <f t="shared" si="52"/>
        <v>3317759</v>
      </c>
      <c r="G156" s="324">
        <f>66420+0+0+0+105000-104181-819+114181</f>
        <v>180601</v>
      </c>
      <c r="H156" s="302">
        <f>0+1525000+1500000+112158</f>
        <v>3137158</v>
      </c>
      <c r="I156" s="302">
        <v>0</v>
      </c>
      <c r="J156" s="302">
        <v>0</v>
      </c>
      <c r="K156" s="302">
        <f>3025000+112158-3137158</f>
        <v>0</v>
      </c>
    </row>
    <row r="157" spans="1:11" s="145" customFormat="1" ht="16.5" customHeight="1">
      <c r="A157" s="262"/>
      <c r="B157" s="221" t="s">
        <v>350</v>
      </c>
      <c r="C157" s="330"/>
      <c r="D157" s="304"/>
      <c r="E157" s="304"/>
      <c r="F157" s="303"/>
      <c r="G157" s="325"/>
      <c r="H157" s="303"/>
      <c r="I157" s="303"/>
      <c r="J157" s="303"/>
      <c r="K157" s="303"/>
    </row>
    <row r="158" spans="1:11" s="145" customFormat="1" ht="18" customHeight="1">
      <c r="A158" s="262" t="s">
        <v>351</v>
      </c>
      <c r="B158" s="222" t="s">
        <v>354</v>
      </c>
      <c r="C158" s="309" t="s">
        <v>260</v>
      </c>
      <c r="D158" s="285">
        <v>2011</v>
      </c>
      <c r="E158" s="285">
        <v>2020</v>
      </c>
      <c r="F158" s="302">
        <f t="shared" si="52"/>
        <v>1386062</v>
      </c>
      <c r="G158" s="324">
        <f>113412+150000</f>
        <v>263412</v>
      </c>
      <c r="H158" s="302">
        <v>122650</v>
      </c>
      <c r="I158" s="302">
        <v>1000000</v>
      </c>
      <c r="J158" s="302">
        <v>0</v>
      </c>
      <c r="K158" s="315">
        <v>1122650</v>
      </c>
    </row>
    <row r="159" spans="1:11" s="145" customFormat="1" ht="18" customHeight="1">
      <c r="A159" s="262"/>
      <c r="B159" s="221" t="s">
        <v>355</v>
      </c>
      <c r="C159" s="310"/>
      <c r="D159" s="304"/>
      <c r="E159" s="304"/>
      <c r="F159" s="303"/>
      <c r="G159" s="325"/>
      <c r="H159" s="303"/>
      <c r="I159" s="303"/>
      <c r="J159" s="303"/>
      <c r="K159" s="316"/>
    </row>
    <row r="160" spans="1:11" s="145" customFormat="1" ht="18" customHeight="1">
      <c r="A160" s="262" t="s">
        <v>352</v>
      </c>
      <c r="B160" s="222" t="s">
        <v>359</v>
      </c>
      <c r="C160" s="329" t="s">
        <v>260</v>
      </c>
      <c r="D160" s="285">
        <v>2011</v>
      </c>
      <c r="E160" s="285">
        <v>2019</v>
      </c>
      <c r="F160" s="302">
        <f t="shared" si="52"/>
        <v>1282557</v>
      </c>
      <c r="G160" s="324">
        <f>40225+1215+133510+19855+68484-68484+500000-90</f>
        <v>694715</v>
      </c>
      <c r="H160" s="302">
        <f>700000-112158</f>
        <v>587842</v>
      </c>
      <c r="I160" s="302">
        <v>0</v>
      </c>
      <c r="J160" s="302">
        <v>0</v>
      </c>
      <c r="K160" s="302">
        <f>33333-33333</f>
        <v>0</v>
      </c>
    </row>
    <row r="161" spans="1:11" s="145" customFormat="1" ht="15.75" customHeight="1">
      <c r="A161" s="262"/>
      <c r="B161" s="221" t="s">
        <v>342</v>
      </c>
      <c r="C161" s="330"/>
      <c r="D161" s="304"/>
      <c r="E161" s="304"/>
      <c r="F161" s="303"/>
      <c r="G161" s="325"/>
      <c r="H161" s="303"/>
      <c r="I161" s="303"/>
      <c r="J161" s="303"/>
      <c r="K161" s="303"/>
    </row>
    <row r="162" spans="1:11" s="145" customFormat="1" ht="14.25" customHeight="1">
      <c r="A162" s="262" t="s">
        <v>353</v>
      </c>
      <c r="B162" s="222" t="s">
        <v>460</v>
      </c>
      <c r="C162" s="329" t="s">
        <v>260</v>
      </c>
      <c r="D162" s="285">
        <v>2009</v>
      </c>
      <c r="E162" s="285">
        <v>2020</v>
      </c>
      <c r="F162" s="302">
        <f t="shared" si="52"/>
        <v>3624128</v>
      </c>
      <c r="G162" s="324">
        <f>0+205224+305798-95489+1547+151065+105983+36900</f>
        <v>711028</v>
      </c>
      <c r="H162" s="315">
        <f>1200000+900000+63100</f>
        <v>2163100</v>
      </c>
      <c r="I162" s="315">
        <f>750000</f>
        <v>750000</v>
      </c>
      <c r="J162" s="315">
        <v>0</v>
      </c>
      <c r="K162" s="315">
        <v>2892805</v>
      </c>
    </row>
    <row r="163" spans="1:11" s="145" customFormat="1" ht="13.5" customHeight="1">
      <c r="A163" s="262"/>
      <c r="B163" s="221" t="s">
        <v>361</v>
      </c>
      <c r="C163" s="330"/>
      <c r="D163" s="304"/>
      <c r="E163" s="304"/>
      <c r="F163" s="303"/>
      <c r="G163" s="325"/>
      <c r="H163" s="316"/>
      <c r="I163" s="316"/>
      <c r="J163" s="316"/>
      <c r="K163" s="316"/>
    </row>
    <row r="164" spans="1:11" s="145" customFormat="1" ht="15.75" customHeight="1">
      <c r="A164" s="262" t="s">
        <v>356</v>
      </c>
      <c r="B164" s="222" t="s">
        <v>366</v>
      </c>
      <c r="C164" s="329" t="s">
        <v>260</v>
      </c>
      <c r="D164" s="285">
        <v>2015</v>
      </c>
      <c r="E164" s="285">
        <v>2019</v>
      </c>
      <c r="F164" s="302">
        <f t="shared" si="52"/>
        <v>792088</v>
      </c>
      <c r="G164" s="324">
        <f>0+0+70000+109088+1845</f>
        <v>180933</v>
      </c>
      <c r="H164" s="302">
        <f>0+611155</f>
        <v>611155</v>
      </c>
      <c r="I164" s="302">
        <v>0</v>
      </c>
      <c r="J164" s="302">
        <v>0</v>
      </c>
      <c r="K164" s="302">
        <f>611155-611155</f>
        <v>0</v>
      </c>
    </row>
    <row r="165" spans="1:11" s="145" customFormat="1" ht="12" customHeight="1">
      <c r="A165" s="262"/>
      <c r="B165" s="221" t="s">
        <v>361</v>
      </c>
      <c r="C165" s="330"/>
      <c r="D165" s="304"/>
      <c r="E165" s="304"/>
      <c r="F165" s="303"/>
      <c r="G165" s="325"/>
      <c r="H165" s="303"/>
      <c r="I165" s="303"/>
      <c r="J165" s="303"/>
      <c r="K165" s="303"/>
    </row>
    <row r="166" spans="1:11" s="145" customFormat="1" ht="16.5" customHeight="1">
      <c r="A166" s="262" t="s">
        <v>357</v>
      </c>
      <c r="B166" s="222" t="s">
        <v>369</v>
      </c>
      <c r="C166" s="329" t="s">
        <v>260</v>
      </c>
      <c r="D166" s="285">
        <v>2011</v>
      </c>
      <c r="E166" s="285">
        <v>2019</v>
      </c>
      <c r="F166" s="302">
        <f t="shared" si="52"/>
        <v>2804557</v>
      </c>
      <c r="G166" s="324">
        <f>58436+31564+0+1029979+1538750-66680</f>
        <v>2592049</v>
      </c>
      <c r="H166" s="302">
        <f>0+200000+12508</f>
        <v>212508</v>
      </c>
      <c r="I166" s="302">
        <v>0</v>
      </c>
      <c r="J166" s="302">
        <v>0</v>
      </c>
      <c r="K166" s="315">
        <v>0</v>
      </c>
    </row>
    <row r="167" spans="1:11" s="145" customFormat="1" ht="15" customHeight="1">
      <c r="A167" s="262"/>
      <c r="B167" s="221" t="s">
        <v>361</v>
      </c>
      <c r="C167" s="330"/>
      <c r="D167" s="304"/>
      <c r="E167" s="304"/>
      <c r="F167" s="303"/>
      <c r="G167" s="325"/>
      <c r="H167" s="303"/>
      <c r="I167" s="303"/>
      <c r="J167" s="303"/>
      <c r="K167" s="316"/>
    </row>
    <row r="168" spans="1:11" s="145" customFormat="1" ht="12.75">
      <c r="A168" s="262" t="s">
        <v>358</v>
      </c>
      <c r="B168" s="222" t="s">
        <v>371</v>
      </c>
      <c r="C168" s="329" t="s">
        <v>260</v>
      </c>
      <c r="D168" s="285">
        <v>2015</v>
      </c>
      <c r="E168" s="285">
        <v>2020</v>
      </c>
      <c r="F168" s="302">
        <f t="shared" si="52"/>
        <v>730690</v>
      </c>
      <c r="G168" s="324">
        <f>0+19889+23000+127524+150000-14723</f>
        <v>305690</v>
      </c>
      <c r="H168" s="315">
        <f>250000+75000</f>
        <v>325000</v>
      </c>
      <c r="I168" s="315">
        <v>100000</v>
      </c>
      <c r="J168" s="315">
        <v>0</v>
      </c>
      <c r="K168" s="315">
        <v>425000</v>
      </c>
    </row>
    <row r="169" spans="1:11" s="145" customFormat="1" ht="13.5" customHeight="1">
      <c r="A169" s="262"/>
      <c r="B169" s="221" t="s">
        <v>342</v>
      </c>
      <c r="C169" s="330"/>
      <c r="D169" s="304"/>
      <c r="E169" s="304"/>
      <c r="F169" s="303"/>
      <c r="G169" s="325"/>
      <c r="H169" s="316"/>
      <c r="I169" s="316"/>
      <c r="J169" s="316"/>
      <c r="K169" s="316"/>
    </row>
    <row r="170" spans="1:11" s="145" customFormat="1" ht="18" customHeight="1">
      <c r="A170" s="262" t="s">
        <v>360</v>
      </c>
      <c r="B170" s="222" t="s">
        <v>378</v>
      </c>
      <c r="C170" s="329" t="s">
        <v>316</v>
      </c>
      <c r="D170" s="285">
        <v>2015</v>
      </c>
      <c r="E170" s="285">
        <v>2019</v>
      </c>
      <c r="F170" s="302">
        <f t="shared" si="52"/>
        <v>773884</v>
      </c>
      <c r="G170" s="324">
        <f>0+521661+5000-2777</f>
        <v>523884</v>
      </c>
      <c r="H170" s="302">
        <v>250000</v>
      </c>
      <c r="I170" s="302">
        <v>0</v>
      </c>
      <c r="J170" s="302">
        <v>0</v>
      </c>
      <c r="K170" s="302">
        <f>250000-250000</f>
        <v>0</v>
      </c>
    </row>
    <row r="171" spans="1:11" s="145" customFormat="1" ht="15" customHeight="1">
      <c r="A171" s="262"/>
      <c r="B171" s="221" t="s">
        <v>376</v>
      </c>
      <c r="C171" s="330"/>
      <c r="D171" s="304"/>
      <c r="E171" s="304"/>
      <c r="F171" s="303"/>
      <c r="G171" s="325"/>
      <c r="H171" s="303"/>
      <c r="I171" s="303"/>
      <c r="J171" s="303"/>
      <c r="K171" s="303"/>
    </row>
    <row r="172" spans="1:11" s="145" customFormat="1" ht="18" customHeight="1">
      <c r="A172" s="262" t="s">
        <v>362</v>
      </c>
      <c r="B172" s="222" t="s">
        <v>533</v>
      </c>
      <c r="C172" s="329" t="s">
        <v>260</v>
      </c>
      <c r="D172" s="285">
        <v>2014</v>
      </c>
      <c r="E172" s="285">
        <v>2019</v>
      </c>
      <c r="F172" s="302">
        <f t="shared" si="52"/>
        <v>4131770</v>
      </c>
      <c r="G172" s="324">
        <f>122000-230+0+10000+1000000</f>
        <v>1131770</v>
      </c>
      <c r="H172" s="315">
        <v>3000000</v>
      </c>
      <c r="I172" s="315">
        <v>0</v>
      </c>
      <c r="J172" s="315">
        <v>0</v>
      </c>
      <c r="K172" s="302">
        <f>2329799-2329799</f>
        <v>0</v>
      </c>
    </row>
    <row r="173" spans="1:11" s="145" customFormat="1" ht="15" customHeight="1">
      <c r="A173" s="262"/>
      <c r="B173" s="221" t="s">
        <v>381</v>
      </c>
      <c r="C173" s="330"/>
      <c r="D173" s="304"/>
      <c r="E173" s="304"/>
      <c r="F173" s="303"/>
      <c r="G173" s="325"/>
      <c r="H173" s="316"/>
      <c r="I173" s="316"/>
      <c r="J173" s="316"/>
      <c r="K173" s="303"/>
    </row>
    <row r="174" spans="1:11" s="145" customFormat="1" ht="15.75" customHeight="1">
      <c r="A174" s="262" t="s">
        <v>363</v>
      </c>
      <c r="B174" s="222" t="s">
        <v>451</v>
      </c>
      <c r="C174" s="329" t="s">
        <v>260</v>
      </c>
      <c r="D174" s="285">
        <v>2016</v>
      </c>
      <c r="E174" s="285">
        <v>2019</v>
      </c>
      <c r="F174" s="302">
        <f>G174+H174+I174+J174</f>
        <v>216800</v>
      </c>
      <c r="G174" s="331">
        <f>49200+63780</f>
        <v>112980</v>
      </c>
      <c r="H174" s="302">
        <f>0+20000+83820</f>
        <v>103820</v>
      </c>
      <c r="I174" s="302">
        <v>0</v>
      </c>
      <c r="J174" s="302">
        <v>0</v>
      </c>
      <c r="K174" s="315">
        <v>0</v>
      </c>
    </row>
    <row r="175" spans="1:11" s="145" customFormat="1" ht="25.5" customHeight="1">
      <c r="A175" s="262"/>
      <c r="B175" s="221" t="s">
        <v>452</v>
      </c>
      <c r="C175" s="330"/>
      <c r="D175" s="304"/>
      <c r="E175" s="304"/>
      <c r="F175" s="303"/>
      <c r="G175" s="332"/>
      <c r="H175" s="303"/>
      <c r="I175" s="303"/>
      <c r="J175" s="303"/>
      <c r="K175" s="316"/>
    </row>
    <row r="176" spans="1:11" s="145" customFormat="1" ht="15" customHeight="1">
      <c r="A176" s="262" t="s">
        <v>364</v>
      </c>
      <c r="B176" s="222" t="s">
        <v>387</v>
      </c>
      <c r="C176" s="329" t="s">
        <v>260</v>
      </c>
      <c r="D176" s="285">
        <v>2016</v>
      </c>
      <c r="E176" s="285">
        <v>2019</v>
      </c>
      <c r="F176" s="302">
        <f t="shared" si="52"/>
        <v>3123175</v>
      </c>
      <c r="G176" s="324">
        <f>0+44175+45000+2390</f>
        <v>91565</v>
      </c>
      <c r="H176" s="315">
        <f>0+2800000+231610</f>
        <v>3031610</v>
      </c>
      <c r="I176" s="302">
        <v>0</v>
      </c>
      <c r="J176" s="302">
        <v>0</v>
      </c>
      <c r="K176" s="302">
        <f>3031610-3031610</f>
        <v>0</v>
      </c>
    </row>
    <row r="177" spans="1:12" s="145" customFormat="1" ht="14.25" customHeight="1">
      <c r="A177" s="262"/>
      <c r="B177" s="221" t="s">
        <v>342</v>
      </c>
      <c r="C177" s="330"/>
      <c r="D177" s="304"/>
      <c r="E177" s="304"/>
      <c r="F177" s="303"/>
      <c r="G177" s="325"/>
      <c r="H177" s="316"/>
      <c r="I177" s="303"/>
      <c r="J177" s="303"/>
      <c r="K177" s="303"/>
    </row>
    <row r="178" spans="1:12" s="145" customFormat="1" ht="13.5" customHeight="1">
      <c r="A178" s="262" t="s">
        <v>365</v>
      </c>
      <c r="B178" s="222" t="s">
        <v>389</v>
      </c>
      <c r="C178" s="329" t="s">
        <v>260</v>
      </c>
      <c r="D178" s="285">
        <v>2016</v>
      </c>
      <c r="E178" s="285">
        <v>2019</v>
      </c>
      <c r="F178" s="302">
        <f t="shared" si="52"/>
        <v>657412</v>
      </c>
      <c r="G178" s="324">
        <f>0+79027+78502+9570</f>
        <v>167099</v>
      </c>
      <c r="H178" s="302">
        <f>0+490313</f>
        <v>490313</v>
      </c>
      <c r="I178" s="302">
        <v>0</v>
      </c>
      <c r="J178" s="302">
        <v>0</v>
      </c>
      <c r="K178" s="302">
        <f>490313-490313</f>
        <v>0</v>
      </c>
    </row>
    <row r="179" spans="1:12" s="145" customFormat="1" ht="15" customHeight="1">
      <c r="A179" s="262"/>
      <c r="B179" s="221" t="s">
        <v>342</v>
      </c>
      <c r="C179" s="330"/>
      <c r="D179" s="304"/>
      <c r="E179" s="304"/>
      <c r="F179" s="303"/>
      <c r="G179" s="325"/>
      <c r="H179" s="303"/>
      <c r="I179" s="303"/>
      <c r="J179" s="303"/>
      <c r="K179" s="303"/>
    </row>
    <row r="180" spans="1:12" s="145" customFormat="1" ht="20.25" customHeight="1">
      <c r="A180" s="262" t="s">
        <v>367</v>
      </c>
      <c r="B180" s="222" t="s">
        <v>392</v>
      </c>
      <c r="C180" s="309" t="s">
        <v>260</v>
      </c>
      <c r="D180" s="285">
        <v>2016</v>
      </c>
      <c r="E180" s="285">
        <v>2019</v>
      </c>
      <c r="F180" s="302">
        <f t="shared" si="52"/>
        <v>1936947</v>
      </c>
      <c r="G180" s="324">
        <f>0+45000+196947+54818-33252</f>
        <v>263513</v>
      </c>
      <c r="H180" s="302">
        <f>200000+478434+500000+220000+55000+220000</f>
        <v>1673434</v>
      </c>
      <c r="I180" s="302">
        <f>200000-200000</f>
        <v>0</v>
      </c>
      <c r="J180" s="302">
        <v>0</v>
      </c>
      <c r="K180" s="302">
        <f>878434+300000+220000+55000-1453434</f>
        <v>0</v>
      </c>
    </row>
    <row r="181" spans="1:12" s="145" customFormat="1" ht="15" customHeight="1">
      <c r="A181" s="262"/>
      <c r="B181" s="221" t="s">
        <v>393</v>
      </c>
      <c r="C181" s="310"/>
      <c r="D181" s="304"/>
      <c r="E181" s="304"/>
      <c r="F181" s="303"/>
      <c r="G181" s="325"/>
      <c r="H181" s="303"/>
      <c r="I181" s="303"/>
      <c r="J181" s="303"/>
      <c r="K181" s="303"/>
    </row>
    <row r="182" spans="1:12" s="145" customFormat="1" ht="24" customHeight="1">
      <c r="A182" s="262" t="s">
        <v>368</v>
      </c>
      <c r="B182" s="222" t="s">
        <v>396</v>
      </c>
      <c r="C182" s="309" t="s">
        <v>260</v>
      </c>
      <c r="D182" s="285">
        <v>2018</v>
      </c>
      <c r="E182" s="285">
        <v>2020</v>
      </c>
      <c r="F182" s="302">
        <f t="shared" si="52"/>
        <v>1350000</v>
      </c>
      <c r="G182" s="324">
        <v>0</v>
      </c>
      <c r="H182" s="302">
        <f>950000-650000+100000</f>
        <v>400000</v>
      </c>
      <c r="I182" s="302">
        <f>0+950000</f>
        <v>950000</v>
      </c>
      <c r="J182" s="302">
        <v>0</v>
      </c>
      <c r="K182" s="302">
        <f>450000+900000</f>
        <v>1350000</v>
      </c>
    </row>
    <row r="183" spans="1:12" s="145" customFormat="1" ht="26.25" customHeight="1">
      <c r="A183" s="262"/>
      <c r="B183" s="221" t="s">
        <v>397</v>
      </c>
      <c r="C183" s="310"/>
      <c r="D183" s="304"/>
      <c r="E183" s="304"/>
      <c r="F183" s="303"/>
      <c r="G183" s="325"/>
      <c r="H183" s="303"/>
      <c r="I183" s="303"/>
      <c r="J183" s="303"/>
      <c r="K183" s="303"/>
    </row>
    <row r="184" spans="1:12" s="145" customFormat="1" ht="32.25" customHeight="1">
      <c r="A184" s="262" t="s">
        <v>370</v>
      </c>
      <c r="B184" s="222" t="s">
        <v>402</v>
      </c>
      <c r="C184" s="309" t="s">
        <v>260</v>
      </c>
      <c r="D184" s="285">
        <v>2016</v>
      </c>
      <c r="E184" s="285">
        <v>2019</v>
      </c>
      <c r="F184" s="302">
        <f>G184+H184+I184+J184</f>
        <v>5843486</v>
      </c>
      <c r="G184" s="324">
        <f>150000+313656-26553-121770+140353-1</f>
        <v>455685</v>
      </c>
      <c r="H184" s="302">
        <f>1980000+405000+1910761+142040+950000</f>
        <v>5387801</v>
      </c>
      <c r="I184" s="302">
        <v>0</v>
      </c>
      <c r="J184" s="302">
        <v>0</v>
      </c>
      <c r="K184" s="315">
        <f>4295761-4295761</f>
        <v>0</v>
      </c>
    </row>
    <row r="185" spans="1:12" s="145" customFormat="1" ht="14.25" customHeight="1">
      <c r="A185" s="262"/>
      <c r="B185" s="221" t="s">
        <v>403</v>
      </c>
      <c r="C185" s="310"/>
      <c r="D185" s="304"/>
      <c r="E185" s="304"/>
      <c r="F185" s="303"/>
      <c r="G185" s="325"/>
      <c r="H185" s="303"/>
      <c r="I185" s="303"/>
      <c r="J185" s="303"/>
      <c r="K185" s="316"/>
    </row>
    <row r="186" spans="1:12" s="145" customFormat="1" ht="15.75" customHeight="1">
      <c r="A186" s="262" t="s">
        <v>372</v>
      </c>
      <c r="B186" s="222" t="s">
        <v>407</v>
      </c>
      <c r="C186" s="329" t="s">
        <v>260</v>
      </c>
      <c r="D186" s="285">
        <v>2017</v>
      </c>
      <c r="E186" s="285">
        <v>2019</v>
      </c>
      <c r="F186" s="302">
        <f>G186+H186+I186+J186</f>
        <v>776695</v>
      </c>
      <c r="G186" s="324">
        <f>0+40000-300+13750</f>
        <v>53450</v>
      </c>
      <c r="H186" s="302">
        <f>0+468250+26000+368000-139005</f>
        <v>723245</v>
      </c>
      <c r="I186" s="302">
        <v>0</v>
      </c>
      <c r="J186" s="302">
        <v>0</v>
      </c>
      <c r="K186" s="315">
        <f>862250-862250</f>
        <v>0</v>
      </c>
      <c r="L186" s="255"/>
    </row>
    <row r="187" spans="1:12" s="145" customFormat="1" ht="14.25" customHeight="1">
      <c r="A187" s="262"/>
      <c r="B187" s="221" t="s">
        <v>405</v>
      </c>
      <c r="C187" s="330"/>
      <c r="D187" s="304"/>
      <c r="E187" s="304"/>
      <c r="F187" s="303"/>
      <c r="G187" s="325"/>
      <c r="H187" s="303"/>
      <c r="I187" s="303"/>
      <c r="J187" s="303"/>
      <c r="K187" s="316"/>
      <c r="L187" s="255"/>
    </row>
    <row r="188" spans="1:12" s="145" customFormat="1" ht="15.75" customHeight="1">
      <c r="A188" s="262" t="s">
        <v>375</v>
      </c>
      <c r="B188" s="222" t="s">
        <v>399</v>
      </c>
      <c r="C188" s="309" t="s">
        <v>260</v>
      </c>
      <c r="D188" s="285">
        <v>2017</v>
      </c>
      <c r="E188" s="285">
        <v>2019</v>
      </c>
      <c r="F188" s="302">
        <f t="shared" si="52"/>
        <v>3918499</v>
      </c>
      <c r="G188" s="324">
        <f>0+77683</f>
        <v>77683</v>
      </c>
      <c r="H188" s="302">
        <f>301500-301500+1065816+775000+500000+1500000</f>
        <v>3840816</v>
      </c>
      <c r="I188" s="302">
        <v>0</v>
      </c>
      <c r="J188" s="302">
        <v>0</v>
      </c>
      <c r="K188" s="302">
        <f>2340816-2340816</f>
        <v>0</v>
      </c>
      <c r="L188" s="255"/>
    </row>
    <row r="189" spans="1:12" s="145" customFormat="1" ht="13.5" customHeight="1">
      <c r="A189" s="262"/>
      <c r="B189" s="221" t="s">
        <v>400</v>
      </c>
      <c r="C189" s="310"/>
      <c r="D189" s="304"/>
      <c r="E189" s="304"/>
      <c r="F189" s="303"/>
      <c r="G189" s="325"/>
      <c r="H189" s="303"/>
      <c r="I189" s="303"/>
      <c r="J189" s="303"/>
      <c r="K189" s="303"/>
      <c r="L189" s="255"/>
    </row>
    <row r="190" spans="1:12" s="145" customFormat="1" ht="14.25" customHeight="1">
      <c r="A190" s="262" t="s">
        <v>377</v>
      </c>
      <c r="B190" s="222" t="s">
        <v>412</v>
      </c>
      <c r="C190" s="309" t="s">
        <v>260</v>
      </c>
      <c r="D190" s="285">
        <v>2012</v>
      </c>
      <c r="E190" s="285">
        <v>2019</v>
      </c>
      <c r="F190" s="302">
        <f t="shared" si="52"/>
        <v>2586824</v>
      </c>
      <c r="G190" s="324">
        <f>536104+488988+57449+672548</f>
        <v>1755089</v>
      </c>
      <c r="H190" s="302">
        <f>0+700000+337730-77000-128995</f>
        <v>831735</v>
      </c>
      <c r="I190" s="302">
        <v>0</v>
      </c>
      <c r="J190" s="302">
        <v>0</v>
      </c>
      <c r="K190" s="315">
        <f>210541-210541</f>
        <v>0</v>
      </c>
      <c r="L190" s="255"/>
    </row>
    <row r="191" spans="1:12" s="145" customFormat="1" ht="14.25" customHeight="1">
      <c r="A191" s="262"/>
      <c r="B191" s="221" t="s">
        <v>342</v>
      </c>
      <c r="C191" s="310"/>
      <c r="D191" s="304"/>
      <c r="E191" s="304"/>
      <c r="F191" s="303"/>
      <c r="G191" s="325"/>
      <c r="H191" s="303"/>
      <c r="I191" s="303"/>
      <c r="J191" s="303"/>
      <c r="K191" s="316"/>
      <c r="L191" s="255"/>
    </row>
    <row r="192" spans="1:12" s="145" customFormat="1" ht="14.25" customHeight="1">
      <c r="A192" s="262" t="s">
        <v>379</v>
      </c>
      <c r="B192" s="222" t="s">
        <v>414</v>
      </c>
      <c r="C192" s="309" t="s">
        <v>260</v>
      </c>
      <c r="D192" s="285">
        <v>2017</v>
      </c>
      <c r="E192" s="285">
        <v>2019</v>
      </c>
      <c r="F192" s="302">
        <f t="shared" si="52"/>
        <v>280000</v>
      </c>
      <c r="G192" s="324">
        <f>0+83000-3000</f>
        <v>80000</v>
      </c>
      <c r="H192" s="302">
        <f>0+200000</f>
        <v>200000</v>
      </c>
      <c r="I192" s="302">
        <v>0</v>
      </c>
      <c r="J192" s="302">
        <v>0</v>
      </c>
      <c r="K192" s="315">
        <f>22930-22930</f>
        <v>0</v>
      </c>
    </row>
    <row r="193" spans="1:12" s="145" customFormat="1" ht="12" customHeight="1">
      <c r="A193" s="262"/>
      <c r="B193" s="221" t="s">
        <v>342</v>
      </c>
      <c r="C193" s="310"/>
      <c r="D193" s="304"/>
      <c r="E193" s="304"/>
      <c r="F193" s="303"/>
      <c r="G193" s="325"/>
      <c r="H193" s="303"/>
      <c r="I193" s="303"/>
      <c r="J193" s="303"/>
      <c r="K193" s="316"/>
    </row>
    <row r="194" spans="1:12" s="145" customFormat="1" ht="14.25" customHeight="1">
      <c r="A194" s="262" t="s">
        <v>380</v>
      </c>
      <c r="B194" s="222" t="s">
        <v>416</v>
      </c>
      <c r="C194" s="309" t="s">
        <v>260</v>
      </c>
      <c r="D194" s="285">
        <v>2015</v>
      </c>
      <c r="E194" s="285">
        <v>2019</v>
      </c>
      <c r="F194" s="302">
        <f t="shared" si="52"/>
        <v>175773</v>
      </c>
      <c r="G194" s="324">
        <f>76516+7257</f>
        <v>83773</v>
      </c>
      <c r="H194" s="302">
        <f>0+92000</f>
        <v>92000</v>
      </c>
      <c r="I194" s="302">
        <v>0</v>
      </c>
      <c r="J194" s="302">
        <v>0</v>
      </c>
      <c r="K194" s="315">
        <f>92000-92000</f>
        <v>0</v>
      </c>
    </row>
    <row r="195" spans="1:12" s="145" customFormat="1" ht="15.75" customHeight="1">
      <c r="A195" s="262"/>
      <c r="B195" s="221" t="s">
        <v>342</v>
      </c>
      <c r="C195" s="310"/>
      <c r="D195" s="304"/>
      <c r="E195" s="304"/>
      <c r="F195" s="303"/>
      <c r="G195" s="325"/>
      <c r="H195" s="303"/>
      <c r="I195" s="303"/>
      <c r="J195" s="303"/>
      <c r="K195" s="316"/>
    </row>
    <row r="196" spans="1:12" s="145" customFormat="1" ht="33" customHeight="1">
      <c r="A196" s="262" t="s">
        <v>382</v>
      </c>
      <c r="B196" s="222" t="s">
        <v>419</v>
      </c>
      <c r="C196" s="309" t="s">
        <v>316</v>
      </c>
      <c r="D196" s="285">
        <v>2014</v>
      </c>
      <c r="E196" s="285">
        <v>2019</v>
      </c>
      <c r="F196" s="302">
        <f t="shared" si="52"/>
        <v>500088</v>
      </c>
      <c r="G196" s="324">
        <f>334868+0+17220</f>
        <v>352088</v>
      </c>
      <c r="H196" s="302">
        <f>0+70000+78000</f>
        <v>148000</v>
      </c>
      <c r="I196" s="302">
        <v>0</v>
      </c>
      <c r="J196" s="302">
        <v>0</v>
      </c>
      <c r="K196" s="315">
        <f>100000-17220-12780-70000</f>
        <v>0</v>
      </c>
    </row>
    <row r="197" spans="1:12" s="145" customFormat="1" ht="29.25" customHeight="1">
      <c r="A197" s="262"/>
      <c r="B197" s="221" t="s">
        <v>420</v>
      </c>
      <c r="C197" s="310"/>
      <c r="D197" s="304"/>
      <c r="E197" s="304"/>
      <c r="F197" s="303"/>
      <c r="G197" s="325"/>
      <c r="H197" s="303"/>
      <c r="I197" s="303"/>
      <c r="J197" s="303"/>
      <c r="K197" s="316"/>
    </row>
    <row r="198" spans="1:12" s="145" customFormat="1" ht="12.75" customHeight="1">
      <c r="A198" s="262" t="s">
        <v>383</v>
      </c>
      <c r="B198" s="222" t="s">
        <v>430</v>
      </c>
      <c r="C198" s="309" t="s">
        <v>260</v>
      </c>
      <c r="D198" s="285">
        <v>2018</v>
      </c>
      <c r="E198" s="285">
        <v>2019</v>
      </c>
      <c r="F198" s="302">
        <f t="shared" si="52"/>
        <v>1200000</v>
      </c>
      <c r="G198" s="324">
        <v>0</v>
      </c>
      <c r="H198" s="302">
        <f>600000+600000</f>
        <v>1200000</v>
      </c>
      <c r="I198" s="302">
        <v>0</v>
      </c>
      <c r="J198" s="302">
        <v>0</v>
      </c>
      <c r="K198" s="315">
        <f>1200000-1200000</f>
        <v>0</v>
      </c>
    </row>
    <row r="199" spans="1:12" s="145" customFormat="1" ht="18" customHeight="1">
      <c r="A199" s="262"/>
      <c r="B199" s="221" t="s">
        <v>342</v>
      </c>
      <c r="C199" s="310"/>
      <c r="D199" s="304"/>
      <c r="E199" s="304"/>
      <c r="F199" s="303"/>
      <c r="G199" s="325"/>
      <c r="H199" s="303"/>
      <c r="I199" s="303"/>
      <c r="J199" s="303"/>
      <c r="K199" s="316"/>
    </row>
    <row r="200" spans="1:12" s="145" customFormat="1" ht="12.75" customHeight="1">
      <c r="A200" s="262" t="s">
        <v>384</v>
      </c>
      <c r="B200" s="222" t="s">
        <v>432</v>
      </c>
      <c r="C200" s="309" t="s">
        <v>260</v>
      </c>
      <c r="D200" s="285">
        <v>2017</v>
      </c>
      <c r="E200" s="285">
        <v>2019</v>
      </c>
      <c r="F200" s="302">
        <f t="shared" si="52"/>
        <v>629969</v>
      </c>
      <c r="G200" s="324">
        <f>0+0+27442-1</f>
        <v>27441</v>
      </c>
      <c r="H200" s="302">
        <f>500000+672558-245530-44500-30000-250000</f>
        <v>602528</v>
      </c>
      <c r="I200" s="302">
        <v>0</v>
      </c>
      <c r="J200" s="302">
        <v>0</v>
      </c>
      <c r="K200" s="315">
        <f>1172558-245530-927028</f>
        <v>0</v>
      </c>
      <c r="L200" s="255"/>
    </row>
    <row r="201" spans="1:12" s="145" customFormat="1" ht="17.25" customHeight="1">
      <c r="A201" s="262"/>
      <c r="B201" s="221" t="s">
        <v>342</v>
      </c>
      <c r="C201" s="310"/>
      <c r="D201" s="304"/>
      <c r="E201" s="304"/>
      <c r="F201" s="303"/>
      <c r="G201" s="325"/>
      <c r="H201" s="303"/>
      <c r="I201" s="303"/>
      <c r="J201" s="303"/>
      <c r="K201" s="316"/>
      <c r="L201" s="255"/>
    </row>
    <row r="202" spans="1:12" s="145" customFormat="1" ht="12.75" customHeight="1">
      <c r="A202" s="262" t="s">
        <v>385</v>
      </c>
      <c r="B202" s="222" t="s">
        <v>433</v>
      </c>
      <c r="C202" s="309" t="s">
        <v>260</v>
      </c>
      <c r="D202" s="285">
        <v>2017</v>
      </c>
      <c r="E202" s="285">
        <v>2019</v>
      </c>
      <c r="F202" s="302">
        <f t="shared" si="52"/>
        <v>80888</v>
      </c>
      <c r="G202" s="324">
        <f>0+0+60000-19112</f>
        <v>40888</v>
      </c>
      <c r="H202" s="302">
        <f>0+40000</f>
        <v>40000</v>
      </c>
      <c r="I202" s="302">
        <v>0</v>
      </c>
      <c r="J202" s="302">
        <v>0</v>
      </c>
      <c r="K202" s="315">
        <v>0</v>
      </c>
    </row>
    <row r="203" spans="1:12" s="145" customFormat="1" ht="16.5" customHeight="1">
      <c r="A203" s="262"/>
      <c r="B203" s="221" t="s">
        <v>434</v>
      </c>
      <c r="C203" s="310"/>
      <c r="D203" s="304"/>
      <c r="E203" s="304"/>
      <c r="F203" s="303"/>
      <c r="G203" s="325"/>
      <c r="H203" s="303"/>
      <c r="I203" s="303"/>
      <c r="J203" s="303"/>
      <c r="K203" s="316"/>
    </row>
    <row r="204" spans="1:12" s="145" customFormat="1" ht="16.5" customHeight="1">
      <c r="A204" s="262" t="s">
        <v>386</v>
      </c>
      <c r="B204" s="222" t="s">
        <v>435</v>
      </c>
      <c r="C204" s="329" t="s">
        <v>260</v>
      </c>
      <c r="D204" s="285">
        <v>2016</v>
      </c>
      <c r="E204" s="285">
        <v>2019</v>
      </c>
      <c r="F204" s="302">
        <f t="shared" si="52"/>
        <v>242700</v>
      </c>
      <c r="G204" s="324">
        <f>0+23000+24970-12300</f>
        <v>35670</v>
      </c>
      <c r="H204" s="302">
        <f>60000+147030</f>
        <v>207030</v>
      </c>
      <c r="I204" s="302">
        <v>0</v>
      </c>
      <c r="J204" s="302">
        <v>0</v>
      </c>
      <c r="K204" s="302">
        <f>207030-207030</f>
        <v>0</v>
      </c>
    </row>
    <row r="205" spans="1:12" s="145" customFormat="1" ht="15.75" customHeight="1">
      <c r="A205" s="262"/>
      <c r="B205" s="221" t="s">
        <v>436</v>
      </c>
      <c r="C205" s="330"/>
      <c r="D205" s="304"/>
      <c r="E205" s="304"/>
      <c r="F205" s="303"/>
      <c r="G205" s="325"/>
      <c r="H205" s="303"/>
      <c r="I205" s="303"/>
      <c r="J205" s="303"/>
      <c r="K205" s="303"/>
    </row>
    <row r="206" spans="1:12" s="145" customFormat="1" ht="14.25" customHeight="1">
      <c r="A206" s="262" t="s">
        <v>388</v>
      </c>
      <c r="B206" s="222" t="s">
        <v>437</v>
      </c>
      <c r="C206" s="309" t="s">
        <v>260</v>
      </c>
      <c r="D206" s="285">
        <v>2017</v>
      </c>
      <c r="E206" s="285">
        <v>2020</v>
      </c>
      <c r="F206" s="302">
        <f t="shared" si="52"/>
        <v>322600</v>
      </c>
      <c r="G206" s="324">
        <f>0+0+2000-2000</f>
        <v>0</v>
      </c>
      <c r="H206" s="302">
        <f>30000+168000-52000</f>
        <v>146000</v>
      </c>
      <c r="I206" s="302">
        <f>0+42000+5600+129000</f>
        <v>176600</v>
      </c>
      <c r="J206" s="302">
        <v>0</v>
      </c>
      <c r="K206" s="315">
        <f>245600+77000</f>
        <v>322600</v>
      </c>
    </row>
    <row r="207" spans="1:12" s="145" customFormat="1" ht="18" customHeight="1">
      <c r="A207" s="262"/>
      <c r="B207" s="221" t="s">
        <v>438</v>
      </c>
      <c r="C207" s="310"/>
      <c r="D207" s="304"/>
      <c r="E207" s="304"/>
      <c r="F207" s="303"/>
      <c r="G207" s="325"/>
      <c r="H207" s="303"/>
      <c r="I207" s="303"/>
      <c r="J207" s="303"/>
      <c r="K207" s="316"/>
    </row>
    <row r="208" spans="1:12" s="145" customFormat="1" ht="13.5" customHeight="1">
      <c r="A208" s="262" t="s">
        <v>390</v>
      </c>
      <c r="B208" s="222" t="s">
        <v>439</v>
      </c>
      <c r="C208" s="309" t="s">
        <v>260</v>
      </c>
      <c r="D208" s="285">
        <v>2011</v>
      </c>
      <c r="E208" s="285">
        <v>2019</v>
      </c>
      <c r="F208" s="302">
        <f t="shared" si="52"/>
        <v>682746</v>
      </c>
      <c r="G208" s="324">
        <f>455233+137513+36000</f>
        <v>628746</v>
      </c>
      <c r="H208" s="302">
        <f>0+54000</f>
        <v>54000</v>
      </c>
      <c r="I208" s="302">
        <v>0</v>
      </c>
      <c r="J208" s="302">
        <v>0</v>
      </c>
      <c r="K208" s="315">
        <f>1563-1563</f>
        <v>0</v>
      </c>
    </row>
    <row r="209" spans="1:11" s="145" customFormat="1" ht="12" customHeight="1">
      <c r="A209" s="262"/>
      <c r="B209" s="221" t="s">
        <v>342</v>
      </c>
      <c r="C209" s="310"/>
      <c r="D209" s="304"/>
      <c r="E209" s="304"/>
      <c r="F209" s="303"/>
      <c r="G209" s="325"/>
      <c r="H209" s="303"/>
      <c r="I209" s="303"/>
      <c r="J209" s="303"/>
      <c r="K209" s="316"/>
    </row>
    <row r="210" spans="1:11" s="145" customFormat="1" ht="25.5" customHeight="1">
      <c r="A210" s="262" t="s">
        <v>391</v>
      </c>
      <c r="B210" s="222" t="s">
        <v>440</v>
      </c>
      <c r="C210" s="309" t="s">
        <v>260</v>
      </c>
      <c r="D210" s="285">
        <v>2017</v>
      </c>
      <c r="E210" s="285">
        <v>2019</v>
      </c>
      <c r="F210" s="302">
        <f t="shared" si="52"/>
        <v>121156</v>
      </c>
      <c r="G210" s="324">
        <f>0+24000-2844</f>
        <v>21156</v>
      </c>
      <c r="H210" s="302">
        <v>100000</v>
      </c>
      <c r="I210" s="302">
        <v>0</v>
      </c>
      <c r="J210" s="302">
        <v>0</v>
      </c>
      <c r="K210" s="315">
        <f>78844-78844</f>
        <v>0</v>
      </c>
    </row>
    <row r="211" spans="1:11" s="145" customFormat="1" ht="12.75" customHeight="1">
      <c r="A211" s="262"/>
      <c r="B211" s="221" t="s">
        <v>342</v>
      </c>
      <c r="C211" s="310"/>
      <c r="D211" s="304"/>
      <c r="E211" s="304"/>
      <c r="F211" s="303"/>
      <c r="G211" s="325"/>
      <c r="H211" s="303"/>
      <c r="I211" s="303"/>
      <c r="J211" s="303"/>
      <c r="K211" s="316"/>
    </row>
    <row r="212" spans="1:11" s="145" customFormat="1" ht="14.25" customHeight="1">
      <c r="A212" s="262" t="s">
        <v>394</v>
      </c>
      <c r="B212" s="222" t="s">
        <v>441</v>
      </c>
      <c r="C212" s="309" t="s">
        <v>260</v>
      </c>
      <c r="D212" s="285">
        <v>2017</v>
      </c>
      <c r="E212" s="285">
        <v>2019</v>
      </c>
      <c r="F212" s="302">
        <f t="shared" ref="F212:F254" si="53">G212+H212+I212+J212</f>
        <v>147477</v>
      </c>
      <c r="G212" s="324">
        <f>0+0+67500-23</f>
        <v>67477</v>
      </c>
      <c r="H212" s="302">
        <f>0+80000</f>
        <v>80000</v>
      </c>
      <c r="I212" s="302">
        <f>0</f>
        <v>0</v>
      </c>
      <c r="J212" s="302">
        <f>0</f>
        <v>0</v>
      </c>
      <c r="K212" s="315">
        <f>2523-2523</f>
        <v>0</v>
      </c>
    </row>
    <row r="213" spans="1:11" s="145" customFormat="1" ht="15.75" customHeight="1">
      <c r="A213" s="262"/>
      <c r="B213" s="221" t="s">
        <v>442</v>
      </c>
      <c r="C213" s="310"/>
      <c r="D213" s="304"/>
      <c r="E213" s="304"/>
      <c r="F213" s="303"/>
      <c r="G213" s="325"/>
      <c r="H213" s="303"/>
      <c r="I213" s="303"/>
      <c r="J213" s="303"/>
      <c r="K213" s="316"/>
    </row>
    <row r="214" spans="1:11" s="145" customFormat="1" ht="29.25" customHeight="1">
      <c r="A214" s="262" t="s">
        <v>395</v>
      </c>
      <c r="B214" s="222" t="s">
        <v>443</v>
      </c>
      <c r="C214" s="309" t="s">
        <v>260</v>
      </c>
      <c r="D214" s="285">
        <v>2018</v>
      </c>
      <c r="E214" s="285">
        <v>2019</v>
      </c>
      <c r="F214" s="302">
        <f t="shared" si="53"/>
        <v>200000</v>
      </c>
      <c r="G214" s="324">
        <f>0+56500</f>
        <v>56500</v>
      </c>
      <c r="H214" s="302">
        <f>600000-100000-36000-20500-300000</f>
        <v>143500</v>
      </c>
      <c r="I214" s="302">
        <v>0</v>
      </c>
      <c r="J214" s="302">
        <v>0</v>
      </c>
      <c r="K214" s="315">
        <f>443500-300000-143500</f>
        <v>0</v>
      </c>
    </row>
    <row r="215" spans="1:11" s="145" customFormat="1" ht="11.25" customHeight="1">
      <c r="A215" s="262"/>
      <c r="B215" s="221" t="s">
        <v>444</v>
      </c>
      <c r="C215" s="310"/>
      <c r="D215" s="304"/>
      <c r="E215" s="304"/>
      <c r="F215" s="303"/>
      <c r="G215" s="325"/>
      <c r="H215" s="303"/>
      <c r="I215" s="303"/>
      <c r="J215" s="303"/>
      <c r="K215" s="316"/>
    </row>
    <row r="216" spans="1:11" s="145" customFormat="1" ht="15.75" customHeight="1">
      <c r="A216" s="262" t="s">
        <v>398</v>
      </c>
      <c r="B216" s="222" t="s">
        <v>446</v>
      </c>
      <c r="C216" s="329" t="s">
        <v>260</v>
      </c>
      <c r="D216" s="285">
        <v>2012</v>
      </c>
      <c r="E216" s="285">
        <v>2019</v>
      </c>
      <c r="F216" s="302">
        <f t="shared" si="53"/>
        <v>511025</v>
      </c>
      <c r="G216" s="324">
        <f>141025+0</f>
        <v>141025</v>
      </c>
      <c r="H216" s="302">
        <f>0+370000</f>
        <v>370000</v>
      </c>
      <c r="I216" s="302">
        <v>0</v>
      </c>
      <c r="J216" s="302">
        <v>0</v>
      </c>
      <c r="K216" s="315">
        <f>300000+70000-370000</f>
        <v>0</v>
      </c>
    </row>
    <row r="217" spans="1:11" s="145" customFormat="1" ht="18.75" customHeight="1">
      <c r="A217" s="262"/>
      <c r="B217" s="221" t="s">
        <v>445</v>
      </c>
      <c r="C217" s="330"/>
      <c r="D217" s="304"/>
      <c r="E217" s="304"/>
      <c r="F217" s="303"/>
      <c r="G217" s="325"/>
      <c r="H217" s="303"/>
      <c r="I217" s="303"/>
      <c r="J217" s="303"/>
      <c r="K217" s="316"/>
    </row>
    <row r="218" spans="1:11" s="145" customFormat="1" ht="15" customHeight="1">
      <c r="A218" s="262" t="s">
        <v>401</v>
      </c>
      <c r="B218" s="222" t="s">
        <v>447</v>
      </c>
      <c r="C218" s="309" t="s">
        <v>260</v>
      </c>
      <c r="D218" s="285">
        <v>2018</v>
      </c>
      <c r="E218" s="285">
        <v>2019</v>
      </c>
      <c r="F218" s="302">
        <f t="shared" si="53"/>
        <v>200000</v>
      </c>
      <c r="G218" s="324">
        <f>0+30000</f>
        <v>30000</v>
      </c>
      <c r="H218" s="302">
        <f>100000+70000</f>
        <v>170000</v>
      </c>
      <c r="I218" s="302">
        <v>0</v>
      </c>
      <c r="J218" s="302">
        <v>0</v>
      </c>
      <c r="K218" s="315">
        <f>119558-119558</f>
        <v>0</v>
      </c>
    </row>
    <row r="219" spans="1:11" s="145" customFormat="1" ht="14.25" customHeight="1">
      <c r="A219" s="262"/>
      <c r="B219" s="221" t="s">
        <v>342</v>
      </c>
      <c r="C219" s="310"/>
      <c r="D219" s="304"/>
      <c r="E219" s="304"/>
      <c r="F219" s="303"/>
      <c r="G219" s="325"/>
      <c r="H219" s="303"/>
      <c r="I219" s="303"/>
      <c r="J219" s="303"/>
      <c r="K219" s="316"/>
    </row>
    <row r="220" spans="1:11" s="145" customFormat="1" ht="13.5" customHeight="1">
      <c r="A220" s="262" t="s">
        <v>404</v>
      </c>
      <c r="B220" s="222" t="s">
        <v>448</v>
      </c>
      <c r="C220" s="309" t="s">
        <v>260</v>
      </c>
      <c r="D220" s="285">
        <v>2018</v>
      </c>
      <c r="E220" s="285">
        <v>2019</v>
      </c>
      <c r="F220" s="302">
        <f t="shared" si="53"/>
        <v>100000</v>
      </c>
      <c r="G220" s="324">
        <v>0</v>
      </c>
      <c r="H220" s="302">
        <f>575000-475000</f>
        <v>100000</v>
      </c>
      <c r="I220" s="302">
        <v>0</v>
      </c>
      <c r="J220" s="302">
        <v>0</v>
      </c>
      <c r="K220" s="315">
        <f>875000-775000-100000</f>
        <v>0</v>
      </c>
    </row>
    <row r="221" spans="1:11" s="145" customFormat="1" ht="18" customHeight="1">
      <c r="A221" s="262"/>
      <c r="B221" s="221" t="s">
        <v>449</v>
      </c>
      <c r="C221" s="310"/>
      <c r="D221" s="304"/>
      <c r="E221" s="304"/>
      <c r="F221" s="303"/>
      <c r="G221" s="325"/>
      <c r="H221" s="303"/>
      <c r="I221" s="303"/>
      <c r="J221" s="303"/>
      <c r="K221" s="316"/>
    </row>
    <row r="222" spans="1:11" s="145" customFormat="1" ht="26.25" customHeight="1">
      <c r="A222" s="262" t="s">
        <v>406</v>
      </c>
      <c r="B222" s="222" t="s">
        <v>450</v>
      </c>
      <c r="C222" s="329" t="s">
        <v>260</v>
      </c>
      <c r="D222" s="285">
        <v>2018</v>
      </c>
      <c r="E222" s="285">
        <v>2019</v>
      </c>
      <c r="F222" s="302">
        <f t="shared" si="53"/>
        <v>250000</v>
      </c>
      <c r="G222" s="324">
        <v>0</v>
      </c>
      <c r="H222" s="302">
        <f>100000+150000</f>
        <v>250000</v>
      </c>
      <c r="I222" s="302">
        <v>0</v>
      </c>
      <c r="J222" s="302">
        <v>0</v>
      </c>
      <c r="K222" s="315">
        <f>150000+100000-250000</f>
        <v>0</v>
      </c>
    </row>
    <row r="223" spans="1:11" s="145" customFormat="1" ht="14.25" customHeight="1">
      <c r="A223" s="262"/>
      <c r="B223" s="221" t="s">
        <v>342</v>
      </c>
      <c r="C223" s="330"/>
      <c r="D223" s="304"/>
      <c r="E223" s="304"/>
      <c r="F223" s="303"/>
      <c r="G223" s="325"/>
      <c r="H223" s="303"/>
      <c r="I223" s="303"/>
      <c r="J223" s="303"/>
      <c r="K223" s="316"/>
    </row>
    <row r="224" spans="1:11" s="145" customFormat="1" ht="13.5" customHeight="1">
      <c r="A224" s="262" t="s">
        <v>408</v>
      </c>
      <c r="B224" s="222" t="s">
        <v>453</v>
      </c>
      <c r="C224" s="309" t="s">
        <v>260</v>
      </c>
      <c r="D224" s="285">
        <v>2014</v>
      </c>
      <c r="E224" s="285">
        <v>2019</v>
      </c>
      <c r="F224" s="302">
        <f t="shared" si="53"/>
        <v>489194</v>
      </c>
      <c r="G224" s="324">
        <f>126075+7446-7446</f>
        <v>126075</v>
      </c>
      <c r="H224" s="302">
        <f>0+29554+333565</f>
        <v>363119</v>
      </c>
      <c r="I224" s="302">
        <v>0</v>
      </c>
      <c r="J224" s="302">
        <v>0</v>
      </c>
      <c r="K224" s="315">
        <f>363119-363119</f>
        <v>0</v>
      </c>
    </row>
    <row r="225" spans="1:11" s="145" customFormat="1" ht="16.5" customHeight="1">
      <c r="A225" s="262"/>
      <c r="B225" s="221" t="s">
        <v>342</v>
      </c>
      <c r="C225" s="310"/>
      <c r="D225" s="304"/>
      <c r="E225" s="304"/>
      <c r="F225" s="303"/>
      <c r="G225" s="325"/>
      <c r="H225" s="303"/>
      <c r="I225" s="303"/>
      <c r="J225" s="303"/>
      <c r="K225" s="316"/>
    </row>
    <row r="226" spans="1:11" s="145" customFormat="1" ht="13.5" customHeight="1">
      <c r="A226" s="262" t="s">
        <v>409</v>
      </c>
      <c r="B226" s="222" t="s">
        <v>454</v>
      </c>
      <c r="C226" s="309" t="s">
        <v>260</v>
      </c>
      <c r="D226" s="285">
        <v>2015</v>
      </c>
      <c r="E226" s="285">
        <v>2019</v>
      </c>
      <c r="F226" s="302">
        <f t="shared" si="53"/>
        <v>467823</v>
      </c>
      <c r="G226" s="324">
        <f>31500+40000</f>
        <v>71500</v>
      </c>
      <c r="H226" s="302">
        <f>250000-23677+170000</f>
        <v>396323</v>
      </c>
      <c r="I226" s="302">
        <v>0</v>
      </c>
      <c r="J226" s="302">
        <v>0</v>
      </c>
      <c r="K226" s="315">
        <f>6481+170000-176481</f>
        <v>0</v>
      </c>
    </row>
    <row r="227" spans="1:11" s="145" customFormat="1" ht="17.25" customHeight="1">
      <c r="A227" s="262"/>
      <c r="B227" s="221" t="s">
        <v>455</v>
      </c>
      <c r="C227" s="310"/>
      <c r="D227" s="304"/>
      <c r="E227" s="304"/>
      <c r="F227" s="303"/>
      <c r="G227" s="325"/>
      <c r="H227" s="303"/>
      <c r="I227" s="303"/>
      <c r="J227" s="303"/>
      <c r="K227" s="316"/>
    </row>
    <row r="228" spans="1:11" s="145" customFormat="1" ht="13.5" customHeight="1">
      <c r="A228" s="262" t="s">
        <v>410</v>
      </c>
      <c r="B228" s="222" t="s">
        <v>456</v>
      </c>
      <c r="C228" s="309" t="s">
        <v>316</v>
      </c>
      <c r="D228" s="285">
        <v>2018</v>
      </c>
      <c r="E228" s="285">
        <v>2019</v>
      </c>
      <c r="F228" s="302">
        <f t="shared" si="53"/>
        <v>107060</v>
      </c>
      <c r="G228" s="324">
        <f>0+27060</f>
        <v>27060</v>
      </c>
      <c r="H228" s="302">
        <v>80000</v>
      </c>
      <c r="I228" s="302">
        <v>0</v>
      </c>
      <c r="J228" s="302">
        <v>0</v>
      </c>
      <c r="K228" s="315">
        <f>80000-80000</f>
        <v>0</v>
      </c>
    </row>
    <row r="229" spans="1:11" s="145" customFormat="1" ht="12" customHeight="1">
      <c r="A229" s="262"/>
      <c r="B229" s="221" t="s">
        <v>457</v>
      </c>
      <c r="C229" s="310"/>
      <c r="D229" s="304"/>
      <c r="E229" s="304"/>
      <c r="F229" s="303"/>
      <c r="G229" s="325"/>
      <c r="H229" s="303"/>
      <c r="I229" s="303"/>
      <c r="J229" s="303"/>
      <c r="K229" s="316"/>
    </row>
    <row r="230" spans="1:11" s="145" customFormat="1" ht="13.5" customHeight="1">
      <c r="A230" s="262" t="s">
        <v>411</v>
      </c>
      <c r="B230" s="222" t="s">
        <v>458</v>
      </c>
      <c r="C230" s="309" t="s">
        <v>260</v>
      </c>
      <c r="D230" s="285">
        <v>2018</v>
      </c>
      <c r="E230" s="285">
        <v>2019</v>
      </c>
      <c r="F230" s="302">
        <f t="shared" si="53"/>
        <v>1999985</v>
      </c>
      <c r="G230" s="324">
        <f>0+1503300-15</f>
        <v>1503285</v>
      </c>
      <c r="H230" s="302">
        <f>400000+96700</f>
        <v>496700</v>
      </c>
      <c r="I230" s="302">
        <v>0</v>
      </c>
      <c r="J230" s="302">
        <v>0</v>
      </c>
      <c r="K230" s="315">
        <f>496700-496700</f>
        <v>0</v>
      </c>
    </row>
    <row r="231" spans="1:11" s="145" customFormat="1" ht="11.25" customHeight="1">
      <c r="A231" s="262"/>
      <c r="B231" s="221" t="s">
        <v>444</v>
      </c>
      <c r="C231" s="310"/>
      <c r="D231" s="304"/>
      <c r="E231" s="304"/>
      <c r="F231" s="303"/>
      <c r="G231" s="325"/>
      <c r="H231" s="303"/>
      <c r="I231" s="303"/>
      <c r="J231" s="303"/>
      <c r="K231" s="316"/>
    </row>
    <row r="232" spans="1:11" s="145" customFormat="1" ht="30" customHeight="1">
      <c r="A232" s="262" t="s">
        <v>413</v>
      </c>
      <c r="B232" s="222" t="s">
        <v>425</v>
      </c>
      <c r="C232" s="329" t="s">
        <v>260</v>
      </c>
      <c r="D232" s="285">
        <v>2016</v>
      </c>
      <c r="E232" s="285">
        <v>2019</v>
      </c>
      <c r="F232" s="302">
        <f>G232+H232+I232+J232</f>
        <v>1919500</v>
      </c>
      <c r="G232" s="324">
        <f>0+12731+4920</f>
        <v>17651</v>
      </c>
      <c r="H232" s="302">
        <f>0+650000+1251849</f>
        <v>1901849</v>
      </c>
      <c r="I232" s="302">
        <v>0</v>
      </c>
      <c r="J232" s="302">
        <v>0</v>
      </c>
      <c r="K232" s="302">
        <f>1901849-1901849</f>
        <v>0</v>
      </c>
    </row>
    <row r="233" spans="1:11" s="145" customFormat="1" ht="15.75" customHeight="1">
      <c r="A233" s="262"/>
      <c r="B233" s="221" t="s">
        <v>426</v>
      </c>
      <c r="C233" s="330"/>
      <c r="D233" s="304"/>
      <c r="E233" s="304"/>
      <c r="F233" s="303"/>
      <c r="G233" s="325"/>
      <c r="H233" s="303"/>
      <c r="I233" s="303"/>
      <c r="J233" s="303"/>
      <c r="K233" s="303"/>
    </row>
    <row r="234" spans="1:11" s="145" customFormat="1" ht="15.75" customHeight="1">
      <c r="A234" s="262" t="s">
        <v>415</v>
      </c>
      <c r="B234" s="222" t="s">
        <v>463</v>
      </c>
      <c r="C234" s="329" t="s">
        <v>260</v>
      </c>
      <c r="D234" s="285">
        <v>2018</v>
      </c>
      <c r="E234" s="285">
        <v>2019</v>
      </c>
      <c r="F234" s="302">
        <f t="shared" si="53"/>
        <v>175353</v>
      </c>
      <c r="G234" s="324">
        <f>0+42157-12647</f>
        <v>29510</v>
      </c>
      <c r="H234" s="302">
        <v>145843</v>
      </c>
      <c r="I234" s="302">
        <v>0</v>
      </c>
      <c r="J234" s="302">
        <v>0</v>
      </c>
      <c r="K234" s="315">
        <f>145843-145843</f>
        <v>0</v>
      </c>
    </row>
    <row r="235" spans="1:11" s="145" customFormat="1" ht="12.75" customHeight="1">
      <c r="A235" s="262"/>
      <c r="B235" s="221" t="s">
        <v>405</v>
      </c>
      <c r="C235" s="330"/>
      <c r="D235" s="304"/>
      <c r="E235" s="304"/>
      <c r="F235" s="303"/>
      <c r="G235" s="325"/>
      <c r="H235" s="303"/>
      <c r="I235" s="303"/>
      <c r="J235" s="303"/>
      <c r="K235" s="316"/>
    </row>
    <row r="236" spans="1:11" s="145" customFormat="1" ht="17.25" customHeight="1">
      <c r="A236" s="262" t="s">
        <v>417</v>
      </c>
      <c r="B236" s="222" t="s">
        <v>459</v>
      </c>
      <c r="C236" s="329" t="s">
        <v>260</v>
      </c>
      <c r="D236" s="285">
        <v>2015</v>
      </c>
      <c r="E236" s="285">
        <v>2019</v>
      </c>
      <c r="F236" s="302">
        <f>G236+H236+I236+J236</f>
        <v>1230000</v>
      </c>
      <c r="G236" s="324">
        <f>30000+10123</f>
        <v>40123</v>
      </c>
      <c r="H236" s="302">
        <f>900000+289877</f>
        <v>1189877</v>
      </c>
      <c r="I236" s="302">
        <v>0</v>
      </c>
      <c r="J236" s="302">
        <v>0</v>
      </c>
      <c r="K236" s="302">
        <f>1189877-1189877</f>
        <v>0</v>
      </c>
    </row>
    <row r="237" spans="1:11" s="145" customFormat="1" ht="14.25" customHeight="1">
      <c r="A237" s="262"/>
      <c r="B237" s="221" t="s">
        <v>426</v>
      </c>
      <c r="C237" s="330"/>
      <c r="D237" s="304"/>
      <c r="E237" s="304"/>
      <c r="F237" s="303"/>
      <c r="G237" s="325"/>
      <c r="H237" s="303"/>
      <c r="I237" s="303"/>
      <c r="J237" s="303"/>
      <c r="K237" s="303"/>
    </row>
    <row r="238" spans="1:11" s="145" customFormat="1" ht="15.75" customHeight="1">
      <c r="A238" s="262" t="s">
        <v>418</v>
      </c>
      <c r="B238" s="222" t="s">
        <v>506</v>
      </c>
      <c r="C238" s="329" t="s">
        <v>260</v>
      </c>
      <c r="D238" s="285">
        <v>2013</v>
      </c>
      <c r="E238" s="285">
        <v>2019</v>
      </c>
      <c r="F238" s="302">
        <f t="shared" si="53"/>
        <v>1425355</v>
      </c>
      <c r="G238" s="317">
        <v>8855</v>
      </c>
      <c r="H238" s="302">
        <f>887447+239053+290000</f>
        <v>1416500</v>
      </c>
      <c r="I238" s="302">
        <v>0</v>
      </c>
      <c r="J238" s="302">
        <v>0</v>
      </c>
      <c r="K238" s="315">
        <f>887447+239053-1126500</f>
        <v>0</v>
      </c>
    </row>
    <row r="239" spans="1:11" s="145" customFormat="1" ht="12.75" customHeight="1">
      <c r="A239" s="262"/>
      <c r="B239" s="221" t="s">
        <v>507</v>
      </c>
      <c r="C239" s="330"/>
      <c r="D239" s="304"/>
      <c r="E239" s="304"/>
      <c r="F239" s="303"/>
      <c r="G239" s="304"/>
      <c r="H239" s="303"/>
      <c r="I239" s="303"/>
      <c r="J239" s="303"/>
      <c r="K239" s="316"/>
    </row>
    <row r="240" spans="1:11" s="145" customFormat="1" ht="21" customHeight="1">
      <c r="A240" s="262" t="s">
        <v>421</v>
      </c>
      <c r="B240" s="222" t="s">
        <v>509</v>
      </c>
      <c r="C240" s="329" t="s">
        <v>260</v>
      </c>
      <c r="D240" s="285">
        <v>2013</v>
      </c>
      <c r="E240" s="285">
        <v>2020</v>
      </c>
      <c r="F240" s="302">
        <f t="shared" si="53"/>
        <v>3818841</v>
      </c>
      <c r="G240" s="324">
        <v>104245</v>
      </c>
      <c r="H240" s="315">
        <f>300000+2994066+190530+30000</f>
        <v>3514596</v>
      </c>
      <c r="I240" s="315">
        <v>200000</v>
      </c>
      <c r="J240" s="315">
        <v>0</v>
      </c>
      <c r="K240" s="315">
        <f>500000+2994066+190530+30000</f>
        <v>3714596</v>
      </c>
    </row>
    <row r="241" spans="1:11" s="145" customFormat="1" ht="18.75" customHeight="1">
      <c r="A241" s="262"/>
      <c r="B241" s="221" t="s">
        <v>510</v>
      </c>
      <c r="C241" s="330"/>
      <c r="D241" s="304"/>
      <c r="E241" s="304"/>
      <c r="F241" s="303"/>
      <c r="G241" s="325"/>
      <c r="H241" s="316"/>
      <c r="I241" s="316"/>
      <c r="J241" s="316"/>
      <c r="K241" s="316"/>
    </row>
    <row r="242" spans="1:11" s="145" customFormat="1" ht="15.75" customHeight="1">
      <c r="A242" s="262" t="s">
        <v>422</v>
      </c>
      <c r="B242" s="222" t="s">
        <v>513</v>
      </c>
      <c r="C242" s="329" t="s">
        <v>515</v>
      </c>
      <c r="D242" s="285">
        <v>2018</v>
      </c>
      <c r="E242" s="285">
        <v>2019</v>
      </c>
      <c r="F242" s="302">
        <f t="shared" si="53"/>
        <v>186900</v>
      </c>
      <c r="G242" s="324">
        <f>0+116175</f>
        <v>116175</v>
      </c>
      <c r="H242" s="315">
        <v>70725</v>
      </c>
      <c r="I242" s="315">
        <v>0</v>
      </c>
      <c r="J242" s="315">
        <v>0</v>
      </c>
      <c r="K242" s="315">
        <v>0</v>
      </c>
    </row>
    <row r="243" spans="1:11" s="145" customFormat="1" ht="18.75" customHeight="1">
      <c r="A243" s="262"/>
      <c r="B243" s="221" t="s">
        <v>514</v>
      </c>
      <c r="C243" s="330"/>
      <c r="D243" s="304"/>
      <c r="E243" s="304"/>
      <c r="F243" s="303"/>
      <c r="G243" s="325"/>
      <c r="H243" s="316"/>
      <c r="I243" s="316"/>
      <c r="J243" s="316"/>
      <c r="K243" s="316"/>
    </row>
    <row r="244" spans="1:11" s="145" customFormat="1" ht="15.75" customHeight="1">
      <c r="A244" s="262" t="s">
        <v>423</v>
      </c>
      <c r="B244" s="222" t="s">
        <v>524</v>
      </c>
      <c r="C244" s="329" t="s">
        <v>525</v>
      </c>
      <c r="D244" s="285">
        <v>2018</v>
      </c>
      <c r="E244" s="285">
        <v>2019</v>
      </c>
      <c r="F244" s="302">
        <f t="shared" si="53"/>
        <v>99999</v>
      </c>
      <c r="G244" s="324">
        <f>0+57308-1</f>
        <v>57307</v>
      </c>
      <c r="H244" s="315">
        <v>42692</v>
      </c>
      <c r="I244" s="315">
        <v>0</v>
      </c>
      <c r="J244" s="315">
        <v>0</v>
      </c>
      <c r="K244" s="315">
        <f>42692-42692</f>
        <v>0</v>
      </c>
    </row>
    <row r="245" spans="1:11" s="145" customFormat="1" ht="15.75" customHeight="1">
      <c r="A245" s="262"/>
      <c r="B245" s="221" t="s">
        <v>514</v>
      </c>
      <c r="C245" s="330"/>
      <c r="D245" s="304"/>
      <c r="E245" s="304"/>
      <c r="F245" s="303"/>
      <c r="G245" s="325"/>
      <c r="H245" s="316"/>
      <c r="I245" s="316"/>
      <c r="J245" s="316"/>
      <c r="K245" s="316"/>
    </row>
    <row r="246" spans="1:11" s="145" customFormat="1" ht="15.75" customHeight="1">
      <c r="A246" s="262" t="s">
        <v>424</v>
      </c>
      <c r="B246" s="222" t="s">
        <v>532</v>
      </c>
      <c r="C246" s="329" t="s">
        <v>316</v>
      </c>
      <c r="D246" s="285">
        <v>2018</v>
      </c>
      <c r="E246" s="285">
        <v>2019</v>
      </c>
      <c r="F246" s="302">
        <f t="shared" si="53"/>
        <v>94000</v>
      </c>
      <c r="G246" s="317">
        <v>47736</v>
      </c>
      <c r="H246" s="315">
        <v>46264</v>
      </c>
      <c r="I246" s="315">
        <v>0</v>
      </c>
      <c r="J246" s="315">
        <v>0</v>
      </c>
      <c r="K246" s="315">
        <f>46264-46264</f>
        <v>0</v>
      </c>
    </row>
    <row r="247" spans="1:11" s="145" customFormat="1" ht="30.75" customHeight="1">
      <c r="A247" s="262"/>
      <c r="B247" s="221" t="s">
        <v>560</v>
      </c>
      <c r="C247" s="330"/>
      <c r="D247" s="304"/>
      <c r="E247" s="304"/>
      <c r="F247" s="303"/>
      <c r="G247" s="304"/>
      <c r="H247" s="316"/>
      <c r="I247" s="316"/>
      <c r="J247" s="316"/>
      <c r="K247" s="316"/>
    </row>
    <row r="248" spans="1:11" s="145" customFormat="1" ht="15.75" customHeight="1">
      <c r="A248" s="262" t="s">
        <v>427</v>
      </c>
      <c r="B248" s="222" t="s">
        <v>534</v>
      </c>
      <c r="C248" s="329" t="s">
        <v>316</v>
      </c>
      <c r="D248" s="285">
        <v>2018</v>
      </c>
      <c r="E248" s="285">
        <v>2019</v>
      </c>
      <c r="F248" s="302">
        <f t="shared" si="53"/>
        <v>24600</v>
      </c>
      <c r="G248" s="324">
        <v>0</v>
      </c>
      <c r="H248" s="315">
        <v>24600</v>
      </c>
      <c r="I248" s="315">
        <v>0</v>
      </c>
      <c r="J248" s="315">
        <v>0</v>
      </c>
      <c r="K248" s="315">
        <f>24600-24600</f>
        <v>0</v>
      </c>
    </row>
    <row r="249" spans="1:11" s="145" customFormat="1" ht="36" customHeight="1">
      <c r="A249" s="262"/>
      <c r="B249" s="221" t="s">
        <v>561</v>
      </c>
      <c r="C249" s="330"/>
      <c r="D249" s="304"/>
      <c r="E249" s="304"/>
      <c r="F249" s="303"/>
      <c r="G249" s="325"/>
      <c r="H249" s="316"/>
      <c r="I249" s="316"/>
      <c r="J249" s="316"/>
      <c r="K249" s="316"/>
    </row>
    <row r="250" spans="1:11" s="145" customFormat="1" ht="15.75" customHeight="1">
      <c r="A250" s="262" t="s">
        <v>428</v>
      </c>
      <c r="B250" s="222" t="s">
        <v>535</v>
      </c>
      <c r="C250" s="329" t="s">
        <v>345</v>
      </c>
      <c r="D250" s="285">
        <v>2011</v>
      </c>
      <c r="E250" s="285">
        <v>2019</v>
      </c>
      <c r="F250" s="302">
        <f t="shared" si="53"/>
        <v>1141802</v>
      </c>
      <c r="G250" s="324">
        <v>1121802</v>
      </c>
      <c r="H250" s="315">
        <v>20000</v>
      </c>
      <c r="I250" s="315">
        <v>0</v>
      </c>
      <c r="J250" s="315">
        <v>0</v>
      </c>
      <c r="K250" s="315">
        <f>20000-20000</f>
        <v>0</v>
      </c>
    </row>
    <row r="251" spans="1:11" s="145" customFormat="1" ht="27" customHeight="1">
      <c r="A251" s="262"/>
      <c r="B251" s="221" t="s">
        <v>562</v>
      </c>
      <c r="C251" s="330"/>
      <c r="D251" s="304"/>
      <c r="E251" s="304"/>
      <c r="F251" s="303"/>
      <c r="G251" s="325"/>
      <c r="H251" s="316"/>
      <c r="I251" s="316"/>
      <c r="J251" s="316"/>
      <c r="K251" s="316"/>
    </row>
    <row r="252" spans="1:11" s="145" customFormat="1" ht="15.75" customHeight="1">
      <c r="A252" s="262" t="s">
        <v>429</v>
      </c>
      <c r="B252" s="222" t="s">
        <v>536</v>
      </c>
      <c r="C252" s="329" t="s">
        <v>537</v>
      </c>
      <c r="D252" s="285">
        <v>2018</v>
      </c>
      <c r="E252" s="285">
        <v>2019</v>
      </c>
      <c r="F252" s="302">
        <f t="shared" si="53"/>
        <v>718450</v>
      </c>
      <c r="G252" s="324">
        <v>18450</v>
      </c>
      <c r="H252" s="315">
        <v>700000</v>
      </c>
      <c r="I252" s="315">
        <v>0</v>
      </c>
      <c r="J252" s="315">
        <v>0</v>
      </c>
      <c r="K252" s="315">
        <f>700000-700000</f>
        <v>0</v>
      </c>
    </row>
    <row r="253" spans="1:11" s="145" customFormat="1" ht="15.75" customHeight="1">
      <c r="A253" s="262"/>
      <c r="B253" s="221" t="s">
        <v>559</v>
      </c>
      <c r="C253" s="330"/>
      <c r="D253" s="304"/>
      <c r="E253" s="304"/>
      <c r="F253" s="303"/>
      <c r="G253" s="325"/>
      <c r="H253" s="316"/>
      <c r="I253" s="316"/>
      <c r="J253" s="316"/>
      <c r="K253" s="316"/>
    </row>
    <row r="254" spans="1:11" s="145" customFormat="1" ht="15.75" customHeight="1">
      <c r="A254" s="262" t="s">
        <v>431</v>
      </c>
      <c r="B254" s="222" t="s">
        <v>558</v>
      </c>
      <c r="C254" s="329" t="s">
        <v>260</v>
      </c>
      <c r="D254" s="285">
        <v>2016</v>
      </c>
      <c r="E254" s="285">
        <v>2020</v>
      </c>
      <c r="F254" s="302">
        <f t="shared" si="53"/>
        <v>3119310</v>
      </c>
      <c r="G254" s="318">
        <v>119310</v>
      </c>
      <c r="H254" s="315">
        <v>1500000</v>
      </c>
      <c r="I254" s="315">
        <v>1500000</v>
      </c>
      <c r="J254" s="315">
        <v>0</v>
      </c>
      <c r="K254" s="315">
        <v>3000000</v>
      </c>
    </row>
    <row r="255" spans="1:11" s="145" customFormat="1" ht="12.75" customHeight="1">
      <c r="A255" s="262"/>
      <c r="B255" s="221" t="s">
        <v>342</v>
      </c>
      <c r="C255" s="330"/>
      <c r="D255" s="304"/>
      <c r="E255" s="304"/>
      <c r="F255" s="303"/>
      <c r="G255" s="319"/>
      <c r="H255" s="316"/>
      <c r="I255" s="316"/>
      <c r="J255" s="316"/>
      <c r="K255" s="316"/>
    </row>
    <row r="256" spans="1:11" s="145" customFormat="1" ht="15.75" customHeight="1">
      <c r="A256" s="262" t="s">
        <v>574</v>
      </c>
      <c r="B256" s="222" t="s">
        <v>575</v>
      </c>
      <c r="C256" s="329" t="s">
        <v>243</v>
      </c>
      <c r="D256" s="285">
        <v>2018</v>
      </c>
      <c r="E256" s="285">
        <v>2019</v>
      </c>
      <c r="F256" s="302">
        <f t="shared" ref="F256" si="54">G256+H256+I256+J256</f>
        <v>229975</v>
      </c>
      <c r="G256" s="324">
        <f>155200-25</f>
        <v>155175</v>
      </c>
      <c r="H256" s="315">
        <v>74800</v>
      </c>
      <c r="I256" s="315">
        <v>0</v>
      </c>
      <c r="J256" s="315">
        <v>0</v>
      </c>
      <c r="K256" s="315">
        <f>74800-74800</f>
        <v>0</v>
      </c>
    </row>
    <row r="257" spans="1:11" s="145" customFormat="1" ht="15" customHeight="1">
      <c r="A257" s="262"/>
      <c r="B257" s="221" t="s">
        <v>576</v>
      </c>
      <c r="C257" s="330"/>
      <c r="D257" s="304"/>
      <c r="E257" s="304"/>
      <c r="F257" s="303"/>
      <c r="G257" s="325"/>
      <c r="H257" s="316"/>
      <c r="I257" s="316"/>
      <c r="J257" s="316"/>
      <c r="K257" s="316"/>
    </row>
    <row r="258" spans="1:11" s="145" customFormat="1" ht="15.75" customHeight="1">
      <c r="A258" s="285" t="s">
        <v>584</v>
      </c>
      <c r="B258" s="222" t="s">
        <v>585</v>
      </c>
      <c r="C258" s="309" t="s">
        <v>297</v>
      </c>
      <c r="D258" s="285">
        <v>2014</v>
      </c>
      <c r="E258" s="285">
        <v>2019</v>
      </c>
      <c r="F258" s="315">
        <f t="shared" ref="F258" si="55">G258+H258+I258+J258</f>
        <v>1575178</v>
      </c>
      <c r="G258" s="318">
        <v>1275178</v>
      </c>
      <c r="H258" s="315">
        <v>300000</v>
      </c>
      <c r="I258" s="315">
        <v>0</v>
      </c>
      <c r="J258" s="315">
        <v>0</v>
      </c>
      <c r="K258" s="315">
        <f>300000-300000</f>
        <v>0</v>
      </c>
    </row>
    <row r="259" spans="1:11" s="145" customFormat="1" ht="15" customHeight="1">
      <c r="A259" s="285"/>
      <c r="B259" s="221" t="s">
        <v>586</v>
      </c>
      <c r="C259" s="310"/>
      <c r="D259" s="304"/>
      <c r="E259" s="304"/>
      <c r="F259" s="316"/>
      <c r="G259" s="319"/>
      <c r="H259" s="316"/>
      <c r="I259" s="316"/>
      <c r="J259" s="316"/>
      <c r="K259" s="316"/>
    </row>
    <row r="260" spans="1:11" s="145" customFormat="1" ht="15.75" customHeight="1">
      <c r="A260" s="285" t="s">
        <v>587</v>
      </c>
      <c r="B260" s="222" t="s">
        <v>588</v>
      </c>
      <c r="C260" s="309" t="s">
        <v>316</v>
      </c>
      <c r="D260" s="285">
        <v>2017</v>
      </c>
      <c r="E260" s="285">
        <v>2019</v>
      </c>
      <c r="F260" s="315">
        <f t="shared" ref="F260" si="56">G260+H260+I260+J260</f>
        <v>668331</v>
      </c>
      <c r="G260" s="318">
        <f>603415-84</f>
        <v>603331</v>
      </c>
      <c r="H260" s="315">
        <v>65000</v>
      </c>
      <c r="I260" s="315">
        <v>0</v>
      </c>
      <c r="J260" s="315">
        <v>0</v>
      </c>
      <c r="K260" s="315">
        <f>65000-65000</f>
        <v>0</v>
      </c>
    </row>
    <row r="261" spans="1:11" s="145" customFormat="1" ht="15" customHeight="1">
      <c r="A261" s="285"/>
      <c r="B261" s="221" t="s">
        <v>589</v>
      </c>
      <c r="C261" s="310"/>
      <c r="D261" s="304"/>
      <c r="E261" s="304"/>
      <c r="F261" s="316"/>
      <c r="G261" s="319"/>
      <c r="H261" s="316"/>
      <c r="I261" s="316"/>
      <c r="J261" s="316"/>
      <c r="K261" s="316"/>
    </row>
    <row r="262" spans="1:11" s="145" customFormat="1" ht="25.5">
      <c r="A262" s="285" t="s">
        <v>590</v>
      </c>
      <c r="B262" s="222" t="s">
        <v>591</v>
      </c>
      <c r="C262" s="309" t="s">
        <v>260</v>
      </c>
      <c r="D262" s="285">
        <v>2006</v>
      </c>
      <c r="E262" s="285">
        <v>2019</v>
      </c>
      <c r="F262" s="315">
        <f t="shared" ref="F262" si="57">G262+H262+I262+J262</f>
        <v>41181204</v>
      </c>
      <c r="G262" s="324">
        <f>38598062+2583142-949117</f>
        <v>40232087</v>
      </c>
      <c r="H262" s="315">
        <v>949117</v>
      </c>
      <c r="I262" s="315">
        <v>0</v>
      </c>
      <c r="J262" s="315">
        <v>0</v>
      </c>
      <c r="K262" s="315">
        <f>949117-949117</f>
        <v>0</v>
      </c>
    </row>
    <row r="263" spans="1:11" s="145" customFormat="1" ht="15" customHeight="1">
      <c r="A263" s="285"/>
      <c r="B263" s="221" t="s">
        <v>592</v>
      </c>
      <c r="C263" s="310"/>
      <c r="D263" s="304"/>
      <c r="E263" s="304"/>
      <c r="F263" s="316"/>
      <c r="G263" s="325"/>
      <c r="H263" s="316"/>
      <c r="I263" s="316"/>
      <c r="J263" s="316"/>
      <c r="K263" s="316"/>
    </row>
    <row r="264" spans="1:11" s="145" customFormat="1" ht="12.75">
      <c r="A264" s="285" t="s">
        <v>593</v>
      </c>
      <c r="B264" s="222" t="s">
        <v>594</v>
      </c>
      <c r="C264" s="309" t="s">
        <v>260</v>
      </c>
      <c r="D264" s="285">
        <v>2018</v>
      </c>
      <c r="E264" s="285">
        <v>2019</v>
      </c>
      <c r="F264" s="315">
        <f t="shared" ref="F264" si="58">G264+H264+I264+J264</f>
        <v>294201</v>
      </c>
      <c r="G264" s="317">
        <f>11000+16000+35100</f>
        <v>62100</v>
      </c>
      <c r="H264" s="315">
        <f>74269+65483+92349</f>
        <v>232101</v>
      </c>
      <c r="I264" s="315">
        <v>0</v>
      </c>
      <c r="J264" s="315">
        <v>0</v>
      </c>
      <c r="K264" s="315">
        <v>0</v>
      </c>
    </row>
    <row r="265" spans="1:11" s="145" customFormat="1" ht="15" customHeight="1">
      <c r="A265" s="285"/>
      <c r="B265" s="221" t="s">
        <v>595</v>
      </c>
      <c r="C265" s="310"/>
      <c r="D265" s="304"/>
      <c r="E265" s="304"/>
      <c r="F265" s="316"/>
      <c r="G265" s="304"/>
      <c r="H265" s="316"/>
      <c r="I265" s="316"/>
      <c r="J265" s="316"/>
      <c r="K265" s="316"/>
    </row>
    <row r="266" spans="1:11" s="145" customFormat="1" ht="12.75" customHeight="1">
      <c r="A266" s="285" t="s">
        <v>607</v>
      </c>
      <c r="B266" s="252" t="s">
        <v>608</v>
      </c>
      <c r="C266" s="311" t="s">
        <v>260</v>
      </c>
      <c r="D266" s="313">
        <v>2016</v>
      </c>
      <c r="E266" s="313">
        <v>2019</v>
      </c>
      <c r="F266" s="315">
        <f t="shared" ref="F266" si="59">G266+H266+I266+J266</f>
        <v>581377</v>
      </c>
      <c r="G266" s="317">
        <v>460300</v>
      </c>
      <c r="H266" s="315">
        <f>121077</f>
        <v>121077</v>
      </c>
      <c r="I266" s="315">
        <v>0</v>
      </c>
      <c r="J266" s="315">
        <v>0</v>
      </c>
      <c r="K266" s="315">
        <v>0</v>
      </c>
    </row>
    <row r="267" spans="1:11" s="145" customFormat="1" ht="15" customHeight="1">
      <c r="A267" s="285"/>
      <c r="B267" s="253" t="s">
        <v>342</v>
      </c>
      <c r="C267" s="312"/>
      <c r="D267" s="314"/>
      <c r="E267" s="314"/>
      <c r="F267" s="316"/>
      <c r="G267" s="304"/>
      <c r="H267" s="316"/>
      <c r="I267" s="316"/>
      <c r="J267" s="316"/>
      <c r="K267" s="316"/>
    </row>
    <row r="268" spans="1:11" s="145" customFormat="1" ht="12.75" customHeight="1">
      <c r="A268" s="285" t="s">
        <v>611</v>
      </c>
      <c r="B268" s="252" t="s">
        <v>612</v>
      </c>
      <c r="C268" s="322" t="s">
        <v>260</v>
      </c>
      <c r="D268" s="313">
        <v>2008</v>
      </c>
      <c r="E268" s="313">
        <v>2019</v>
      </c>
      <c r="F268" s="315">
        <f t="shared" ref="F268" si="60">G268+H268+I268+J268</f>
        <v>123574</v>
      </c>
      <c r="G268" s="317">
        <v>121074</v>
      </c>
      <c r="H268" s="315">
        <v>2500</v>
      </c>
      <c r="I268" s="315">
        <v>0</v>
      </c>
      <c r="J268" s="315">
        <v>0</v>
      </c>
      <c r="K268" s="315">
        <v>0</v>
      </c>
    </row>
    <row r="269" spans="1:11" s="145" customFormat="1" ht="15" customHeight="1">
      <c r="A269" s="285"/>
      <c r="B269" s="253" t="s">
        <v>342</v>
      </c>
      <c r="C269" s="323"/>
      <c r="D269" s="314"/>
      <c r="E269" s="314"/>
      <c r="F269" s="316"/>
      <c r="G269" s="304"/>
      <c r="H269" s="316"/>
      <c r="I269" s="316"/>
      <c r="J269" s="316"/>
      <c r="K269" s="316"/>
    </row>
    <row r="270" spans="1:11" s="145" customFormat="1" ht="12.75" customHeight="1">
      <c r="A270" s="285" t="s">
        <v>614</v>
      </c>
      <c r="B270" s="252" t="s">
        <v>613</v>
      </c>
      <c r="C270" s="311" t="s">
        <v>260</v>
      </c>
      <c r="D270" s="313">
        <v>2016</v>
      </c>
      <c r="E270" s="313">
        <v>2019</v>
      </c>
      <c r="F270" s="315">
        <f t="shared" ref="F270" si="61">G270+H270+I270+J270</f>
        <v>373700</v>
      </c>
      <c r="G270" s="317">
        <v>356700</v>
      </c>
      <c r="H270" s="315">
        <v>17000</v>
      </c>
      <c r="I270" s="315">
        <v>0</v>
      </c>
      <c r="J270" s="315">
        <v>0</v>
      </c>
      <c r="K270" s="315">
        <v>0</v>
      </c>
    </row>
    <row r="271" spans="1:11" s="145" customFormat="1" ht="15" customHeight="1">
      <c r="A271" s="285"/>
      <c r="B271" s="253" t="s">
        <v>592</v>
      </c>
      <c r="C271" s="312"/>
      <c r="D271" s="314"/>
      <c r="E271" s="314"/>
      <c r="F271" s="316"/>
      <c r="G271" s="304"/>
      <c r="H271" s="316"/>
      <c r="I271" s="316"/>
      <c r="J271" s="316"/>
      <c r="K271" s="316"/>
    </row>
    <row r="272" spans="1:11" s="145" customFormat="1" ht="12.75" customHeight="1">
      <c r="A272" s="285" t="s">
        <v>615</v>
      </c>
      <c r="B272" s="252" t="s">
        <v>616</v>
      </c>
      <c r="C272" s="311" t="s">
        <v>260</v>
      </c>
      <c r="D272" s="313">
        <v>2017</v>
      </c>
      <c r="E272" s="313">
        <v>2019</v>
      </c>
      <c r="F272" s="315">
        <f t="shared" ref="F272" si="62">G272+H272+I272+J272</f>
        <v>118726</v>
      </c>
      <c r="G272" s="317">
        <v>93726</v>
      </c>
      <c r="H272" s="315">
        <v>25000</v>
      </c>
      <c r="I272" s="315">
        <v>0</v>
      </c>
      <c r="J272" s="315">
        <v>0</v>
      </c>
      <c r="K272" s="315">
        <v>0</v>
      </c>
    </row>
    <row r="273" spans="1:11" s="145" customFormat="1" ht="15" customHeight="1">
      <c r="A273" s="285"/>
      <c r="B273" s="253" t="s">
        <v>361</v>
      </c>
      <c r="C273" s="312"/>
      <c r="D273" s="314"/>
      <c r="E273" s="314"/>
      <c r="F273" s="316"/>
      <c r="G273" s="304"/>
      <c r="H273" s="316"/>
      <c r="I273" s="316"/>
      <c r="J273" s="316"/>
      <c r="K273" s="316"/>
    </row>
    <row r="274" spans="1:11">
      <c r="B274" s="224"/>
      <c r="G274" s="249"/>
    </row>
    <row r="275" spans="1:11">
      <c r="B275" s="224"/>
      <c r="G275" s="249"/>
    </row>
    <row r="276" spans="1:11">
      <c r="B276" s="224"/>
      <c r="G276" s="249"/>
    </row>
    <row r="277" spans="1:11">
      <c r="B277" s="224"/>
    </row>
    <row r="278" spans="1:11">
      <c r="B278" s="224"/>
    </row>
    <row r="279" spans="1:11">
      <c r="B279" s="224"/>
    </row>
    <row r="280" spans="1:11">
      <c r="B280" s="224"/>
    </row>
    <row r="281" spans="1:11">
      <c r="B281" s="224"/>
    </row>
    <row r="282" spans="1:11">
      <c r="B282" s="224"/>
    </row>
  </sheetData>
  <mergeCells count="1273">
    <mergeCell ref="K262:K263"/>
    <mergeCell ref="A103:A104"/>
    <mergeCell ref="H198:H199"/>
    <mergeCell ref="I198:I199"/>
    <mergeCell ref="K198:K199"/>
    <mergeCell ref="K208:K209"/>
    <mergeCell ref="K206:K207"/>
    <mergeCell ref="K95:K96"/>
    <mergeCell ref="A97:A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K134:K135"/>
    <mergeCell ref="B143:E143"/>
    <mergeCell ref="K176:K177"/>
    <mergeCell ref="C178:C179"/>
    <mergeCell ref="D178:D179"/>
    <mergeCell ref="E178:E179"/>
    <mergeCell ref="F178:F179"/>
    <mergeCell ref="C176:C177"/>
    <mergeCell ref="D176:D177"/>
    <mergeCell ref="E176:E177"/>
    <mergeCell ref="F176:F177"/>
    <mergeCell ref="G176:G177"/>
    <mergeCell ref="J130:J131"/>
    <mergeCell ref="C262:C263"/>
    <mergeCell ref="E262:E263"/>
    <mergeCell ref="F262:F263"/>
    <mergeCell ref="G262:G263"/>
    <mergeCell ref="A180:A181"/>
    <mergeCell ref="G180:G181"/>
    <mergeCell ref="H180:H181"/>
    <mergeCell ref="I180:I181"/>
    <mergeCell ref="J180:J181"/>
    <mergeCell ref="I194:I195"/>
    <mergeCell ref="A188:A189"/>
    <mergeCell ref="G184:G185"/>
    <mergeCell ref="H184:H185"/>
    <mergeCell ref="I184:I185"/>
    <mergeCell ref="C180:C181"/>
    <mergeCell ref="D180:D181"/>
    <mergeCell ref="E180:E181"/>
    <mergeCell ref="F180:F181"/>
    <mergeCell ref="G182:G183"/>
    <mergeCell ref="H182:H183"/>
    <mergeCell ref="J262:J263"/>
    <mergeCell ref="I182:I183"/>
    <mergeCell ref="J182:J183"/>
    <mergeCell ref="J188:J189"/>
    <mergeCell ref="C250:C251"/>
    <mergeCell ref="D250:D251"/>
    <mergeCell ref="E250:E251"/>
    <mergeCell ref="F250:F251"/>
    <mergeCell ref="G250:G251"/>
    <mergeCell ref="H250:H251"/>
    <mergeCell ref="F218:F219"/>
    <mergeCell ref="G218:G219"/>
    <mergeCell ref="A208:A209"/>
    <mergeCell ref="K87:K88"/>
    <mergeCell ref="A256:A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K254:K255"/>
    <mergeCell ref="H172:H173"/>
    <mergeCell ref="I172:I173"/>
    <mergeCell ref="J172:J173"/>
    <mergeCell ref="K172:K173"/>
    <mergeCell ref="K200:K201"/>
    <mergeCell ref="H178:H179"/>
    <mergeCell ref="I178:I179"/>
    <mergeCell ref="J178:J179"/>
    <mergeCell ref="K178:K179"/>
    <mergeCell ref="H176:H177"/>
    <mergeCell ref="I176:I177"/>
    <mergeCell ref="J176:J177"/>
    <mergeCell ref="D116:D117"/>
    <mergeCell ref="C126:C127"/>
    <mergeCell ref="D126:D127"/>
    <mergeCell ref="J95:J96"/>
    <mergeCell ref="C103:C104"/>
    <mergeCell ref="D103:D104"/>
    <mergeCell ref="E103:E104"/>
    <mergeCell ref="G87:G88"/>
    <mergeCell ref="J87:J88"/>
    <mergeCell ref="J85:J86"/>
    <mergeCell ref="J83:J84"/>
    <mergeCell ref="E116:E117"/>
    <mergeCell ref="F116:F117"/>
    <mergeCell ref="A114:A115"/>
    <mergeCell ref="C114:C115"/>
    <mergeCell ref="H252:H253"/>
    <mergeCell ref="I252:I253"/>
    <mergeCell ref="J252:J253"/>
    <mergeCell ref="J190:J191"/>
    <mergeCell ref="B142:E142"/>
    <mergeCell ref="A134:A135"/>
    <mergeCell ref="C134:C135"/>
    <mergeCell ref="D134:D135"/>
    <mergeCell ref="E134:E135"/>
    <mergeCell ref="F134:F135"/>
    <mergeCell ref="E130:E131"/>
    <mergeCell ref="B144:E144"/>
    <mergeCell ref="E120:E121"/>
    <mergeCell ref="F120:F121"/>
    <mergeCell ref="G120:G121"/>
    <mergeCell ref="I134:I135"/>
    <mergeCell ref="G108:G109"/>
    <mergeCell ref="H108:H109"/>
    <mergeCell ref="E172:E173"/>
    <mergeCell ref="F172:F173"/>
    <mergeCell ref="A178:A179"/>
    <mergeCell ref="A176:A177"/>
    <mergeCell ref="G172:G173"/>
    <mergeCell ref="G178:G179"/>
    <mergeCell ref="J126:J127"/>
    <mergeCell ref="F103:F104"/>
    <mergeCell ref="G103:G104"/>
    <mergeCell ref="H103:H104"/>
    <mergeCell ref="I103:I104"/>
    <mergeCell ref="J103:J104"/>
    <mergeCell ref="A101:A102"/>
    <mergeCell ref="C101:C102"/>
    <mergeCell ref="D101:D102"/>
    <mergeCell ref="E101:E102"/>
    <mergeCell ref="F101:F102"/>
    <mergeCell ref="A118:A119"/>
    <mergeCell ref="C118:C119"/>
    <mergeCell ref="H114:H115"/>
    <mergeCell ref="I99:I100"/>
    <mergeCell ref="J99:J100"/>
    <mergeCell ref="A99:A100"/>
    <mergeCell ref="C99:C100"/>
    <mergeCell ref="D99:D100"/>
    <mergeCell ref="B107:E107"/>
    <mergeCell ref="A112:A113"/>
    <mergeCell ref="C112:C113"/>
    <mergeCell ref="D112:D113"/>
    <mergeCell ref="E112:E113"/>
    <mergeCell ref="F112:F113"/>
    <mergeCell ref="G112:G113"/>
    <mergeCell ref="G110:G111"/>
    <mergeCell ref="A105:A106"/>
    <mergeCell ref="C116:C117"/>
    <mergeCell ref="J105:J106"/>
    <mergeCell ref="A89:A90"/>
    <mergeCell ref="H83:H84"/>
    <mergeCell ref="I83:I84"/>
    <mergeCell ref="G101:G102"/>
    <mergeCell ref="H101:H102"/>
    <mergeCell ref="I101:I102"/>
    <mergeCell ref="I95:I96"/>
    <mergeCell ref="C91:C92"/>
    <mergeCell ref="D91:D92"/>
    <mergeCell ref="E91:E92"/>
    <mergeCell ref="F91:F92"/>
    <mergeCell ref="G91:G92"/>
    <mergeCell ref="H91:H92"/>
    <mergeCell ref="E99:E100"/>
    <mergeCell ref="G85:G86"/>
    <mergeCell ref="H85:H86"/>
    <mergeCell ref="I85:I86"/>
    <mergeCell ref="A95:A96"/>
    <mergeCell ref="C95:C96"/>
    <mergeCell ref="D95:D96"/>
    <mergeCell ref="E95:E96"/>
    <mergeCell ref="C87:C88"/>
    <mergeCell ref="F95:F96"/>
    <mergeCell ref="D87:D88"/>
    <mergeCell ref="E87:E88"/>
    <mergeCell ref="F87:F88"/>
    <mergeCell ref="H87:H88"/>
    <mergeCell ref="I87:I88"/>
    <mergeCell ref="K83:K84"/>
    <mergeCell ref="A73:A74"/>
    <mergeCell ref="C71:C72"/>
    <mergeCell ref="D71:D72"/>
    <mergeCell ref="A75:A76"/>
    <mergeCell ref="J81:J82"/>
    <mergeCell ref="G79:G80"/>
    <mergeCell ref="H79:H80"/>
    <mergeCell ref="I79:I80"/>
    <mergeCell ref="A83:A84"/>
    <mergeCell ref="C83:C84"/>
    <mergeCell ref="D83:D84"/>
    <mergeCell ref="E83:E84"/>
    <mergeCell ref="F83:F84"/>
    <mergeCell ref="I81:I82"/>
    <mergeCell ref="G83:G84"/>
    <mergeCell ref="G71:G72"/>
    <mergeCell ref="H71:H72"/>
    <mergeCell ref="C75:C76"/>
    <mergeCell ref="K77:K78"/>
    <mergeCell ref="F75:F76"/>
    <mergeCell ref="G75:G76"/>
    <mergeCell ref="G77:G78"/>
    <mergeCell ref="H75:H76"/>
    <mergeCell ref="I75:I76"/>
    <mergeCell ref="J75:J76"/>
    <mergeCell ref="C79:C80"/>
    <mergeCell ref="D79:D80"/>
    <mergeCell ref="K75:K76"/>
    <mergeCell ref="I71:I72"/>
    <mergeCell ref="F73:F74"/>
    <mergeCell ref="H148:H149"/>
    <mergeCell ref="I148:I149"/>
    <mergeCell ref="J73:J74"/>
    <mergeCell ref="K73:K74"/>
    <mergeCell ref="C73:C74"/>
    <mergeCell ref="D73:D74"/>
    <mergeCell ref="E73:E74"/>
    <mergeCell ref="A77:A78"/>
    <mergeCell ref="C77:C78"/>
    <mergeCell ref="D77:D78"/>
    <mergeCell ref="E77:E78"/>
    <mergeCell ref="F77:F78"/>
    <mergeCell ref="A67:A68"/>
    <mergeCell ref="C67:C68"/>
    <mergeCell ref="F21:F22"/>
    <mergeCell ref="D25:D26"/>
    <mergeCell ref="E25:E26"/>
    <mergeCell ref="F25:F26"/>
    <mergeCell ref="G25:G26"/>
    <mergeCell ref="I39:I40"/>
    <mergeCell ref="D43:D44"/>
    <mergeCell ref="K33:K34"/>
    <mergeCell ref="K85:K86"/>
    <mergeCell ref="A85:A86"/>
    <mergeCell ref="C85:C86"/>
    <mergeCell ref="D85:D86"/>
    <mergeCell ref="E85:E86"/>
    <mergeCell ref="F85:F86"/>
    <mergeCell ref="F79:F80"/>
    <mergeCell ref="J79:J80"/>
    <mergeCell ref="K79:K80"/>
    <mergeCell ref="K81:K82"/>
    <mergeCell ref="C7:C10"/>
    <mergeCell ref="D7:E8"/>
    <mergeCell ref="H7:J8"/>
    <mergeCell ref="J29:J30"/>
    <mergeCell ref="A45:A46"/>
    <mergeCell ref="C45:C46"/>
    <mergeCell ref="D45:D46"/>
    <mergeCell ref="E45:E46"/>
    <mergeCell ref="F45:F46"/>
    <mergeCell ref="G45:G46"/>
    <mergeCell ref="E43:E44"/>
    <mergeCell ref="F43:F44"/>
    <mergeCell ref="G43:G44"/>
    <mergeCell ref="H17:H18"/>
    <mergeCell ref="I17:I18"/>
    <mergeCell ref="J17:J18"/>
    <mergeCell ref="G37:G38"/>
    <mergeCell ref="J37:J38"/>
    <mergeCell ref="E37:E38"/>
    <mergeCell ref="G33:G34"/>
    <mergeCell ref="H33:H34"/>
    <mergeCell ref="J27:J28"/>
    <mergeCell ref="A31:A32"/>
    <mergeCell ref="A21:A22"/>
    <mergeCell ref="C21:C22"/>
    <mergeCell ref="D21:D22"/>
    <mergeCell ref="A41:A42"/>
    <mergeCell ref="C41:C42"/>
    <mergeCell ref="A25:A26"/>
    <mergeCell ref="C25:C26"/>
    <mergeCell ref="F41:F42"/>
    <mergeCell ref="A17:A18"/>
    <mergeCell ref="K7:K10"/>
    <mergeCell ref="D9:D10"/>
    <mergeCell ref="E9:E10"/>
    <mergeCell ref="H9:H10"/>
    <mergeCell ref="B16:E16"/>
    <mergeCell ref="D41:D42"/>
    <mergeCell ref="K37:K38"/>
    <mergeCell ref="A29:A30"/>
    <mergeCell ref="C29:C30"/>
    <mergeCell ref="D29:D30"/>
    <mergeCell ref="E29:E30"/>
    <mergeCell ref="F29:F30"/>
    <mergeCell ref="G29:G30"/>
    <mergeCell ref="H29:H30"/>
    <mergeCell ref="I29:I30"/>
    <mergeCell ref="A39:A40"/>
    <mergeCell ref="C39:C40"/>
    <mergeCell ref="D39:D40"/>
    <mergeCell ref="A37:A38"/>
    <mergeCell ref="I9:I10"/>
    <mergeCell ref="J9:J10"/>
    <mergeCell ref="B12:E12"/>
    <mergeCell ref="B13:E13"/>
    <mergeCell ref="B14:E14"/>
    <mergeCell ref="B15:E15"/>
    <mergeCell ref="K19:K20"/>
    <mergeCell ref="K17:K18"/>
    <mergeCell ref="J19:J20"/>
    <mergeCell ref="D19:D20"/>
    <mergeCell ref="E19:E20"/>
    <mergeCell ref="A7:A10"/>
    <mergeCell ref="B7:B10"/>
    <mergeCell ref="E33:E34"/>
    <mergeCell ref="F33:F34"/>
    <mergeCell ref="F39:F40"/>
    <mergeCell ref="C17:C18"/>
    <mergeCell ref="D17:D18"/>
    <mergeCell ref="E17:E18"/>
    <mergeCell ref="F17:F18"/>
    <mergeCell ref="G17:G18"/>
    <mergeCell ref="G19:G20"/>
    <mergeCell ref="C31:C32"/>
    <mergeCell ref="D31:D32"/>
    <mergeCell ref="E31:E32"/>
    <mergeCell ref="F31:F32"/>
    <mergeCell ref="G31:G32"/>
    <mergeCell ref="C19:C20"/>
    <mergeCell ref="F37:F38"/>
    <mergeCell ref="A27:A28"/>
    <mergeCell ref="C27:C28"/>
    <mergeCell ref="D27:D28"/>
    <mergeCell ref="E27:E28"/>
    <mergeCell ref="F19:F20"/>
    <mergeCell ref="F27:F28"/>
    <mergeCell ref="G27:G28"/>
    <mergeCell ref="E21:E22"/>
    <mergeCell ref="F23:F24"/>
    <mergeCell ref="G23:G24"/>
    <mergeCell ref="A33:A34"/>
    <mergeCell ref="I21:I22"/>
    <mergeCell ref="J21:J22"/>
    <mergeCell ref="H23:H24"/>
    <mergeCell ref="I23:I24"/>
    <mergeCell ref="J31:J32"/>
    <mergeCell ref="G39:G40"/>
    <mergeCell ref="E39:E40"/>
    <mergeCell ref="K31:K32"/>
    <mergeCell ref="J23:J24"/>
    <mergeCell ref="K23:K24"/>
    <mergeCell ref="H19:H20"/>
    <mergeCell ref="I19:I20"/>
    <mergeCell ref="A19:A20"/>
    <mergeCell ref="E59:E60"/>
    <mergeCell ref="J55:J56"/>
    <mergeCell ref="F49:F50"/>
    <mergeCell ref="J51:J52"/>
    <mergeCell ref="J53:J54"/>
    <mergeCell ref="A35:A36"/>
    <mergeCell ref="H45:H46"/>
    <mergeCell ref="G21:G22"/>
    <mergeCell ref="H21:H22"/>
    <mergeCell ref="G51:G52"/>
    <mergeCell ref="A23:A24"/>
    <mergeCell ref="C23:C24"/>
    <mergeCell ref="C35:C36"/>
    <mergeCell ref="G35:G36"/>
    <mergeCell ref="J47:J48"/>
    <mergeCell ref="D59:D60"/>
    <mergeCell ref="E51:E52"/>
    <mergeCell ref="C33:C34"/>
    <mergeCell ref="D33:D34"/>
    <mergeCell ref="H43:H44"/>
    <mergeCell ref="I33:I34"/>
    <mergeCell ref="J33:J34"/>
    <mergeCell ref="C37:C38"/>
    <mergeCell ref="D37:D38"/>
    <mergeCell ref="G41:G42"/>
    <mergeCell ref="H41:H42"/>
    <mergeCell ref="K41:K42"/>
    <mergeCell ref="K21:K22"/>
    <mergeCell ref="H25:H26"/>
    <mergeCell ref="I25:I26"/>
    <mergeCell ref="J25:J26"/>
    <mergeCell ref="K25:K26"/>
    <mergeCell ref="F47:F48"/>
    <mergeCell ref="G47:G48"/>
    <mergeCell ref="H35:H36"/>
    <mergeCell ref="I35:I36"/>
    <mergeCell ref="J35:J36"/>
    <mergeCell ref="D23:D24"/>
    <mergeCell ref="E23:E24"/>
    <mergeCell ref="K27:K28"/>
    <mergeCell ref="H39:H40"/>
    <mergeCell ref="K29:K30"/>
    <mergeCell ref="H37:H38"/>
    <mergeCell ref="I37:I38"/>
    <mergeCell ref="K35:K36"/>
    <mergeCell ref="D35:D36"/>
    <mergeCell ref="E35:E36"/>
    <mergeCell ref="F35:F36"/>
    <mergeCell ref="H31:H32"/>
    <mergeCell ref="K47:K48"/>
    <mergeCell ref="I31:I32"/>
    <mergeCell ref="H27:H28"/>
    <mergeCell ref="I27:I28"/>
    <mergeCell ref="K55:K56"/>
    <mergeCell ref="J39:J40"/>
    <mergeCell ref="K39:K40"/>
    <mergeCell ref="K51:K52"/>
    <mergeCell ref="F53:F54"/>
    <mergeCell ref="G53:G54"/>
    <mergeCell ref="G49:G50"/>
    <mergeCell ref="H49:H50"/>
    <mergeCell ref="I49:I50"/>
    <mergeCell ref="I43:I44"/>
    <mergeCell ref="J43:J44"/>
    <mergeCell ref="K43:K44"/>
    <mergeCell ref="A43:A44"/>
    <mergeCell ref="C43:C44"/>
    <mergeCell ref="E47:E48"/>
    <mergeCell ref="E41:E42"/>
    <mergeCell ref="J49:J50"/>
    <mergeCell ref="K49:K50"/>
    <mergeCell ref="I41:I42"/>
    <mergeCell ref="J41:J42"/>
    <mergeCell ref="I45:I46"/>
    <mergeCell ref="J45:J46"/>
    <mergeCell ref="K45:K46"/>
    <mergeCell ref="H53:H54"/>
    <mergeCell ref="I53:I54"/>
    <mergeCell ref="K53:K54"/>
    <mergeCell ref="H51:H52"/>
    <mergeCell ref="I51:I52"/>
    <mergeCell ref="F51:F52"/>
    <mergeCell ref="I47:I48"/>
    <mergeCell ref="I69:I70"/>
    <mergeCell ref="J69:J70"/>
    <mergeCell ref="K69:K70"/>
    <mergeCell ref="H77:H78"/>
    <mergeCell ref="K71:K72"/>
    <mergeCell ref="K57:K58"/>
    <mergeCell ref="F63:F64"/>
    <mergeCell ref="K63:K64"/>
    <mergeCell ref="J59:J60"/>
    <mergeCell ref="K59:K60"/>
    <mergeCell ref="F69:F70"/>
    <mergeCell ref="F71:F72"/>
    <mergeCell ref="G73:G74"/>
    <mergeCell ref="J77:J78"/>
    <mergeCell ref="G69:G70"/>
    <mergeCell ref="H69:H70"/>
    <mergeCell ref="I61:I62"/>
    <mergeCell ref="F59:F60"/>
    <mergeCell ref="G59:G60"/>
    <mergeCell ref="J63:J64"/>
    <mergeCell ref="J67:J68"/>
    <mergeCell ref="J61:J62"/>
    <mergeCell ref="K61:K62"/>
    <mergeCell ref="G67:G68"/>
    <mergeCell ref="J57:J58"/>
    <mergeCell ref="K67:K68"/>
    <mergeCell ref="G57:G58"/>
    <mergeCell ref="H57:H58"/>
    <mergeCell ref="I77:I78"/>
    <mergeCell ref="H73:H74"/>
    <mergeCell ref="I73:I74"/>
    <mergeCell ref="G65:G66"/>
    <mergeCell ref="D61:D62"/>
    <mergeCell ref="H47:H48"/>
    <mergeCell ref="A47:A48"/>
    <mergeCell ref="C47:C48"/>
    <mergeCell ref="D47:D48"/>
    <mergeCell ref="C49:C50"/>
    <mergeCell ref="D49:D50"/>
    <mergeCell ref="E49:E50"/>
    <mergeCell ref="H67:H68"/>
    <mergeCell ref="A53:A54"/>
    <mergeCell ref="C53:C54"/>
    <mergeCell ref="D53:D54"/>
    <mergeCell ref="E53:E54"/>
    <mergeCell ref="H55:H56"/>
    <mergeCell ref="C63:C64"/>
    <mergeCell ref="D63:D64"/>
    <mergeCell ref="E63:E64"/>
    <mergeCell ref="A51:A52"/>
    <mergeCell ref="C51:C52"/>
    <mergeCell ref="D51:D52"/>
    <mergeCell ref="A63:A64"/>
    <mergeCell ref="A55:A56"/>
    <mergeCell ref="C55:C56"/>
    <mergeCell ref="D55:D56"/>
    <mergeCell ref="E55:E56"/>
    <mergeCell ref="F55:F56"/>
    <mergeCell ref="G55:G56"/>
    <mergeCell ref="A57:A58"/>
    <mergeCell ref="C57:C58"/>
    <mergeCell ref="D57:D58"/>
    <mergeCell ref="E57:E58"/>
    <mergeCell ref="F57:F58"/>
    <mergeCell ref="C61:C62"/>
    <mergeCell ref="I55:I56"/>
    <mergeCell ref="I57:I58"/>
    <mergeCell ref="E61:E62"/>
    <mergeCell ref="F61:F62"/>
    <mergeCell ref="G61:G62"/>
    <mergeCell ref="H61:H62"/>
    <mergeCell ref="H59:H60"/>
    <mergeCell ref="I59:I60"/>
    <mergeCell ref="F81:F82"/>
    <mergeCell ref="G81:G82"/>
    <mergeCell ref="H81:H82"/>
    <mergeCell ref="A65:A66"/>
    <mergeCell ref="A71:A72"/>
    <mergeCell ref="D67:D68"/>
    <mergeCell ref="E67:E68"/>
    <mergeCell ref="F67:F68"/>
    <mergeCell ref="C65:C66"/>
    <mergeCell ref="D65:D66"/>
    <mergeCell ref="C69:C70"/>
    <mergeCell ref="D69:D70"/>
    <mergeCell ref="E69:E70"/>
    <mergeCell ref="I67:I68"/>
    <mergeCell ref="E71:E72"/>
    <mergeCell ref="D75:D76"/>
    <mergeCell ref="A59:A60"/>
    <mergeCell ref="C59:C60"/>
    <mergeCell ref="E65:E66"/>
    <mergeCell ref="F65:F66"/>
    <mergeCell ref="G63:G64"/>
    <mergeCell ref="H63:H64"/>
    <mergeCell ref="I63:I64"/>
    <mergeCell ref="G130:G131"/>
    <mergeCell ref="A61:A62"/>
    <mergeCell ref="A87:A88"/>
    <mergeCell ref="K130:K131"/>
    <mergeCell ref="K126:K127"/>
    <mergeCell ref="D114:D115"/>
    <mergeCell ref="G124:G125"/>
    <mergeCell ref="H124:H125"/>
    <mergeCell ref="A122:A123"/>
    <mergeCell ref="I124:I125"/>
    <mergeCell ref="J124:J125"/>
    <mergeCell ref="K124:K125"/>
    <mergeCell ref="K128:K129"/>
    <mergeCell ref="H130:H131"/>
    <mergeCell ref="I130:I131"/>
    <mergeCell ref="E114:E115"/>
    <mergeCell ref="F114:F115"/>
    <mergeCell ref="G114:G115"/>
    <mergeCell ref="J116:J117"/>
    <mergeCell ref="E75:E76"/>
    <mergeCell ref="J71:J72"/>
    <mergeCell ref="K120:K121"/>
    <mergeCell ref="K114:K115"/>
    <mergeCell ref="I126:I127"/>
    <mergeCell ref="I122:I123"/>
    <mergeCell ref="C130:C131"/>
    <mergeCell ref="F130:F131"/>
    <mergeCell ref="J89:J90"/>
    <mergeCell ref="A79:A80"/>
    <mergeCell ref="K89:K90"/>
    <mergeCell ref="E118:E119"/>
    <mergeCell ref="F118:F119"/>
    <mergeCell ref="H134:H135"/>
    <mergeCell ref="F126:F127"/>
    <mergeCell ref="G126:G127"/>
    <mergeCell ref="H126:H127"/>
    <mergeCell ref="A128:A129"/>
    <mergeCell ref="I114:I115"/>
    <mergeCell ref="J114:J115"/>
    <mergeCell ref="K132:K133"/>
    <mergeCell ref="H118:H119"/>
    <mergeCell ref="I118:I119"/>
    <mergeCell ref="A126:A127"/>
    <mergeCell ref="E126:E127"/>
    <mergeCell ref="A130:A131"/>
    <mergeCell ref="H120:H121"/>
    <mergeCell ref="I120:I121"/>
    <mergeCell ref="J120:J121"/>
    <mergeCell ref="D130:D131"/>
    <mergeCell ref="J134:J135"/>
    <mergeCell ref="C128:C129"/>
    <mergeCell ref="D128:D129"/>
    <mergeCell ref="E128:E129"/>
    <mergeCell ref="F128:F129"/>
    <mergeCell ref="G128:G129"/>
    <mergeCell ref="G118:G119"/>
    <mergeCell ref="H128:H129"/>
    <mergeCell ref="I128:I129"/>
    <mergeCell ref="J128:J129"/>
    <mergeCell ref="C122:C123"/>
    <mergeCell ref="D122:D123"/>
    <mergeCell ref="H122:H123"/>
    <mergeCell ref="J122:J123"/>
    <mergeCell ref="D118:D119"/>
    <mergeCell ref="E140:E141"/>
    <mergeCell ref="J140:J141"/>
    <mergeCell ref="J132:J133"/>
    <mergeCell ref="A132:A133"/>
    <mergeCell ref="H132:H133"/>
    <mergeCell ref="B145:E145"/>
    <mergeCell ref="B146:E146"/>
    <mergeCell ref="B147:E147"/>
    <mergeCell ref="G134:G135"/>
    <mergeCell ref="C132:C133"/>
    <mergeCell ref="D132:D133"/>
    <mergeCell ref="E132:E133"/>
    <mergeCell ref="F132:F133"/>
    <mergeCell ref="G132:G133"/>
    <mergeCell ref="I132:I133"/>
    <mergeCell ref="A138:A139"/>
    <mergeCell ref="C138:C139"/>
    <mergeCell ref="D138:D139"/>
    <mergeCell ref="E138:E139"/>
    <mergeCell ref="F138:F139"/>
    <mergeCell ref="H136:H137"/>
    <mergeCell ref="I136:I137"/>
    <mergeCell ref="H140:H141"/>
    <mergeCell ref="A140:A141"/>
    <mergeCell ref="C140:C141"/>
    <mergeCell ref="E136:E137"/>
    <mergeCell ref="F136:F137"/>
    <mergeCell ref="G136:G137"/>
    <mergeCell ref="F140:F141"/>
    <mergeCell ref="G140:G141"/>
    <mergeCell ref="J136:J137"/>
    <mergeCell ref="J138:J139"/>
    <mergeCell ref="J150:J151"/>
    <mergeCell ref="K150:K151"/>
    <mergeCell ref="G150:G151"/>
    <mergeCell ref="H150:H151"/>
    <mergeCell ref="I150:I151"/>
    <mergeCell ref="C150:C151"/>
    <mergeCell ref="D150:D151"/>
    <mergeCell ref="E150:E151"/>
    <mergeCell ref="F150:F151"/>
    <mergeCell ref="A150:A151"/>
    <mergeCell ref="J148:J149"/>
    <mergeCell ref="K140:K141"/>
    <mergeCell ref="K138:K139"/>
    <mergeCell ref="K136:K137"/>
    <mergeCell ref="H152:H153"/>
    <mergeCell ref="I152:I153"/>
    <mergeCell ref="J152:J153"/>
    <mergeCell ref="K152:K153"/>
    <mergeCell ref="A148:A149"/>
    <mergeCell ref="C148:C149"/>
    <mergeCell ref="D148:D149"/>
    <mergeCell ref="E148:E149"/>
    <mergeCell ref="F148:F149"/>
    <mergeCell ref="G148:G149"/>
    <mergeCell ref="K148:K149"/>
    <mergeCell ref="A152:A153"/>
    <mergeCell ref="C152:C153"/>
    <mergeCell ref="D152:D153"/>
    <mergeCell ref="E152:E153"/>
    <mergeCell ref="F152:F153"/>
    <mergeCell ref="G152:G153"/>
    <mergeCell ref="D140:D141"/>
    <mergeCell ref="F164:F165"/>
    <mergeCell ref="J154:J155"/>
    <mergeCell ref="K154:K155"/>
    <mergeCell ref="G158:G159"/>
    <mergeCell ref="H158:H159"/>
    <mergeCell ref="I158:I159"/>
    <mergeCell ref="J158:J159"/>
    <mergeCell ref="K158:K159"/>
    <mergeCell ref="A158:A159"/>
    <mergeCell ref="C158:C159"/>
    <mergeCell ref="D158:D159"/>
    <mergeCell ref="E158:E159"/>
    <mergeCell ref="F158:F159"/>
    <mergeCell ref="A154:A155"/>
    <mergeCell ref="C154:C155"/>
    <mergeCell ref="D154:D155"/>
    <mergeCell ref="E154:E155"/>
    <mergeCell ref="F154:F155"/>
    <mergeCell ref="H156:H157"/>
    <mergeCell ref="I156:I157"/>
    <mergeCell ref="J156:J157"/>
    <mergeCell ref="K156:K157"/>
    <mergeCell ref="F156:F157"/>
    <mergeCell ref="G156:G157"/>
    <mergeCell ref="G154:G155"/>
    <mergeCell ref="H154:H155"/>
    <mergeCell ref="I154:I155"/>
    <mergeCell ref="D156:D157"/>
    <mergeCell ref="E156:E157"/>
    <mergeCell ref="C156:C157"/>
    <mergeCell ref="A172:A173"/>
    <mergeCell ref="C172:C173"/>
    <mergeCell ref="D172:D173"/>
    <mergeCell ref="A162:A163"/>
    <mergeCell ref="A160:A161"/>
    <mergeCell ref="H160:H161"/>
    <mergeCell ref="I160:I161"/>
    <mergeCell ref="J160:J161"/>
    <mergeCell ref="K160:K161"/>
    <mergeCell ref="C160:C161"/>
    <mergeCell ref="D160:D161"/>
    <mergeCell ref="E160:E161"/>
    <mergeCell ref="F160:F161"/>
    <mergeCell ref="G160:G161"/>
    <mergeCell ref="H162:H163"/>
    <mergeCell ref="I162:I163"/>
    <mergeCell ref="J162:J163"/>
    <mergeCell ref="K162:K163"/>
    <mergeCell ref="A164:A165"/>
    <mergeCell ref="C162:C163"/>
    <mergeCell ref="D162:D163"/>
    <mergeCell ref="E162:E163"/>
    <mergeCell ref="F162:F163"/>
    <mergeCell ref="G162:G163"/>
    <mergeCell ref="G164:G165"/>
    <mergeCell ref="H164:H165"/>
    <mergeCell ref="I164:I165"/>
    <mergeCell ref="J164:J165"/>
    <mergeCell ref="K164:K165"/>
    <mergeCell ref="C164:C165"/>
    <mergeCell ref="D164:D165"/>
    <mergeCell ref="E164:E165"/>
    <mergeCell ref="C166:C167"/>
    <mergeCell ref="D166:D167"/>
    <mergeCell ref="E166:E167"/>
    <mergeCell ref="F166:F167"/>
    <mergeCell ref="H168:H169"/>
    <mergeCell ref="I168:I169"/>
    <mergeCell ref="J168:J169"/>
    <mergeCell ref="K168:K169"/>
    <mergeCell ref="A170:A171"/>
    <mergeCell ref="A168:A169"/>
    <mergeCell ref="C168:C169"/>
    <mergeCell ref="D168:D169"/>
    <mergeCell ref="E168:E169"/>
    <mergeCell ref="F168:F169"/>
    <mergeCell ref="G168:G169"/>
    <mergeCell ref="G170:G171"/>
    <mergeCell ref="H170:H171"/>
    <mergeCell ref="I170:I171"/>
    <mergeCell ref="J170:J171"/>
    <mergeCell ref="K170:K171"/>
    <mergeCell ref="C170:C171"/>
    <mergeCell ref="D170:D171"/>
    <mergeCell ref="E170:E171"/>
    <mergeCell ref="F170:F171"/>
    <mergeCell ref="G166:G167"/>
    <mergeCell ref="J166:J167"/>
    <mergeCell ref="K166:K167"/>
    <mergeCell ref="A166:A167"/>
    <mergeCell ref="K204:K205"/>
    <mergeCell ref="K182:K183"/>
    <mergeCell ref="C182:C183"/>
    <mergeCell ref="D182:D183"/>
    <mergeCell ref="E182:E183"/>
    <mergeCell ref="F182:F183"/>
    <mergeCell ref="J184:J185"/>
    <mergeCell ref="K184:K185"/>
    <mergeCell ref="C184:C185"/>
    <mergeCell ref="D184:D185"/>
    <mergeCell ref="E184:E185"/>
    <mergeCell ref="F184:F185"/>
    <mergeCell ref="A182:A183"/>
    <mergeCell ref="K180:K181"/>
    <mergeCell ref="H194:H195"/>
    <mergeCell ref="H192:H193"/>
    <mergeCell ref="A194:A195"/>
    <mergeCell ref="C194:C195"/>
    <mergeCell ref="D194:D195"/>
    <mergeCell ref="E194:E195"/>
    <mergeCell ref="F194:F195"/>
    <mergeCell ref="C192:C193"/>
    <mergeCell ref="D192:D193"/>
    <mergeCell ref="E192:E193"/>
    <mergeCell ref="J186:J187"/>
    <mergeCell ref="K186:K187"/>
    <mergeCell ref="A186:A187"/>
    <mergeCell ref="C186:C187"/>
    <mergeCell ref="D186:D187"/>
    <mergeCell ref="E186:E187"/>
    <mergeCell ref="F186:F187"/>
    <mergeCell ref="H188:H189"/>
    <mergeCell ref="A220:A221"/>
    <mergeCell ref="A210:A211"/>
    <mergeCell ref="A218:A219"/>
    <mergeCell ref="K188:K189"/>
    <mergeCell ref="K190:K191"/>
    <mergeCell ref="J206:J207"/>
    <mergeCell ref="I204:I205"/>
    <mergeCell ref="J204:J205"/>
    <mergeCell ref="I200:I201"/>
    <mergeCell ref="A196:A197"/>
    <mergeCell ref="G196:G197"/>
    <mergeCell ref="H196:H197"/>
    <mergeCell ref="A198:A199"/>
    <mergeCell ref="J194:J195"/>
    <mergeCell ref="K194:K195"/>
    <mergeCell ref="I192:I193"/>
    <mergeCell ref="J192:J193"/>
    <mergeCell ref="K192:K193"/>
    <mergeCell ref="F192:F193"/>
    <mergeCell ref="F204:F205"/>
    <mergeCell ref="E202:E203"/>
    <mergeCell ref="C202:C203"/>
    <mergeCell ref="E204:E205"/>
    <mergeCell ref="G192:G193"/>
    <mergeCell ref="A192:A193"/>
    <mergeCell ref="A190:A191"/>
    <mergeCell ref="G190:G191"/>
    <mergeCell ref="H190:H191"/>
    <mergeCell ref="D202:D203"/>
    <mergeCell ref="K196:K197"/>
    <mergeCell ref="H206:H207"/>
    <mergeCell ref="H200:H201"/>
    <mergeCell ref="A234:A235"/>
    <mergeCell ref="A246:A247"/>
    <mergeCell ref="C232:C233"/>
    <mergeCell ref="A222:A223"/>
    <mergeCell ref="A228:A229"/>
    <mergeCell ref="A226:A227"/>
    <mergeCell ref="G224:G225"/>
    <mergeCell ref="A240:A241"/>
    <mergeCell ref="A224:A225"/>
    <mergeCell ref="A232:A233"/>
    <mergeCell ref="A230:A231"/>
    <mergeCell ref="A236:A237"/>
    <mergeCell ref="F244:F245"/>
    <mergeCell ref="C228:C229"/>
    <mergeCell ref="D228:D229"/>
    <mergeCell ref="E228:E229"/>
    <mergeCell ref="F228:F229"/>
    <mergeCell ref="G228:G229"/>
    <mergeCell ref="C246:C247"/>
    <mergeCell ref="F230:F231"/>
    <mergeCell ref="D240:D241"/>
    <mergeCell ref="A242:A243"/>
    <mergeCell ref="A238:A239"/>
    <mergeCell ref="C226:C227"/>
    <mergeCell ref="D226:D227"/>
    <mergeCell ref="D236:D237"/>
    <mergeCell ref="C242:C243"/>
    <mergeCell ref="D242:D243"/>
    <mergeCell ref="E242:E243"/>
    <mergeCell ref="F242:F243"/>
    <mergeCell ref="G242:G243"/>
    <mergeCell ref="H242:H243"/>
    <mergeCell ref="J242:J243"/>
    <mergeCell ref="E234:E235"/>
    <mergeCell ref="C234:C235"/>
    <mergeCell ref="D234:D235"/>
    <mergeCell ref="K236:K237"/>
    <mergeCell ref="C236:C237"/>
    <mergeCell ref="D212:D213"/>
    <mergeCell ref="J208:J209"/>
    <mergeCell ref="K234:K235"/>
    <mergeCell ref="G220:G221"/>
    <mergeCell ref="G240:G241"/>
    <mergeCell ref="H240:H241"/>
    <mergeCell ref="E226:E227"/>
    <mergeCell ref="C218:C219"/>
    <mergeCell ref="C212:C213"/>
    <mergeCell ref="H210:H211"/>
    <mergeCell ref="I210:I211"/>
    <mergeCell ref="H208:H209"/>
    <mergeCell ref="K202:K203"/>
    <mergeCell ref="H202:H203"/>
    <mergeCell ref="I202:I203"/>
    <mergeCell ref="J202:J203"/>
    <mergeCell ref="E200:E201"/>
    <mergeCell ref="J212:J213"/>
    <mergeCell ref="H224:H225"/>
    <mergeCell ref="J210:J211"/>
    <mergeCell ref="K210:K211"/>
    <mergeCell ref="K224:K225"/>
    <mergeCell ref="E230:E231"/>
    <mergeCell ref="H234:H235"/>
    <mergeCell ref="H226:H227"/>
    <mergeCell ref="I196:I197"/>
    <mergeCell ref="K212:K213"/>
    <mergeCell ref="K214:K215"/>
    <mergeCell ref="F220:F221"/>
    <mergeCell ref="I226:I227"/>
    <mergeCell ref="K228:K229"/>
    <mergeCell ref="J226:J227"/>
    <mergeCell ref="F198:F199"/>
    <mergeCell ref="K222:K223"/>
    <mergeCell ref="E222:E223"/>
    <mergeCell ref="F222:F223"/>
    <mergeCell ref="G222:G223"/>
    <mergeCell ref="J230:J231"/>
    <mergeCell ref="K230:K231"/>
    <mergeCell ref="G232:G233"/>
    <mergeCell ref="H232:H233"/>
    <mergeCell ref="E210:E211"/>
    <mergeCell ref="F210:F211"/>
    <mergeCell ref="E212:E213"/>
    <mergeCell ref="E122:E123"/>
    <mergeCell ref="F122:F123"/>
    <mergeCell ref="G122:G123"/>
    <mergeCell ref="A120:A121"/>
    <mergeCell ref="C120:C121"/>
    <mergeCell ref="G138:G139"/>
    <mergeCell ref="H138:H139"/>
    <mergeCell ref="I138:I139"/>
    <mergeCell ref="I140:I141"/>
    <mergeCell ref="A174:A175"/>
    <mergeCell ref="I190:I191"/>
    <mergeCell ref="A184:A185"/>
    <mergeCell ref="C206:C207"/>
    <mergeCell ref="D206:D207"/>
    <mergeCell ref="E206:E207"/>
    <mergeCell ref="F206:F207"/>
    <mergeCell ref="G206:G207"/>
    <mergeCell ref="G198:G199"/>
    <mergeCell ref="G204:G205"/>
    <mergeCell ref="H204:H205"/>
    <mergeCell ref="C196:C197"/>
    <mergeCell ref="A200:A201"/>
    <mergeCell ref="C190:C191"/>
    <mergeCell ref="D190:D191"/>
    <mergeCell ref="E190:E191"/>
    <mergeCell ref="I206:I207"/>
    <mergeCell ref="A202:A203"/>
    <mergeCell ref="C204:C205"/>
    <mergeCell ref="D204:D205"/>
    <mergeCell ref="D198:D199"/>
    <mergeCell ref="E198:E199"/>
    <mergeCell ref="I188:I189"/>
    <mergeCell ref="A216:A217"/>
    <mergeCell ref="A206:A207"/>
    <mergeCell ref="K105:K106"/>
    <mergeCell ref="A136:A137"/>
    <mergeCell ref="C136:C137"/>
    <mergeCell ref="D136:D137"/>
    <mergeCell ref="C89:C90"/>
    <mergeCell ref="D89:D90"/>
    <mergeCell ref="E89:E90"/>
    <mergeCell ref="F89:F90"/>
    <mergeCell ref="G89:G90"/>
    <mergeCell ref="H89:H90"/>
    <mergeCell ref="I89:I90"/>
    <mergeCell ref="A91:A92"/>
    <mergeCell ref="I91:I92"/>
    <mergeCell ref="A116:A117"/>
    <mergeCell ref="F196:F197"/>
    <mergeCell ref="F190:F191"/>
    <mergeCell ref="G194:G195"/>
    <mergeCell ref="F99:F100"/>
    <mergeCell ref="G99:G100"/>
    <mergeCell ref="H99:H100"/>
    <mergeCell ref="C210:C211"/>
    <mergeCell ref="F200:F201"/>
    <mergeCell ref="C198:C199"/>
    <mergeCell ref="G214:G215"/>
    <mergeCell ref="C214:C215"/>
    <mergeCell ref="C200:C201"/>
    <mergeCell ref="D200:D201"/>
    <mergeCell ref="D196:D197"/>
    <mergeCell ref="E196:E197"/>
    <mergeCell ref="A204:A205"/>
    <mergeCell ref="A254:A255"/>
    <mergeCell ref="C254:C255"/>
    <mergeCell ref="D254:D255"/>
    <mergeCell ref="D124:D125"/>
    <mergeCell ref="E124:E125"/>
    <mergeCell ref="F124:F125"/>
    <mergeCell ref="K108:K109"/>
    <mergeCell ref="I108:I109"/>
    <mergeCell ref="J110:J111"/>
    <mergeCell ref="J108:J109"/>
    <mergeCell ref="G95:G96"/>
    <mergeCell ref="H95:H96"/>
    <mergeCell ref="G116:G117"/>
    <mergeCell ref="H116:H117"/>
    <mergeCell ref="I116:I117"/>
    <mergeCell ref="J118:J119"/>
    <mergeCell ref="K118:K119"/>
    <mergeCell ref="C108:C109"/>
    <mergeCell ref="D108:D109"/>
    <mergeCell ref="E108:E109"/>
    <mergeCell ref="K116:K117"/>
    <mergeCell ref="K122:K123"/>
    <mergeCell ref="H110:H111"/>
    <mergeCell ref="I110:I111"/>
    <mergeCell ref="C124:C125"/>
    <mergeCell ref="C105:C106"/>
    <mergeCell ref="D105:D106"/>
    <mergeCell ref="E105:E106"/>
    <mergeCell ref="F105:F106"/>
    <mergeCell ref="G105:G106"/>
    <mergeCell ref="H105:H106"/>
    <mergeCell ref="I105:I106"/>
    <mergeCell ref="A258:A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K238:K239"/>
    <mergeCell ref="D238:D239"/>
    <mergeCell ref="J240:J241"/>
    <mergeCell ref="K240:K241"/>
    <mergeCell ref="A244:A245"/>
    <mergeCell ref="C244:C245"/>
    <mergeCell ref="D244:D245"/>
    <mergeCell ref="E244:E245"/>
    <mergeCell ref="A248:A249"/>
    <mergeCell ref="H254:H255"/>
    <mergeCell ref="I254:I255"/>
    <mergeCell ref="J254:J255"/>
    <mergeCell ref="K252:K253"/>
    <mergeCell ref="K246:K247"/>
    <mergeCell ref="I248:I249"/>
    <mergeCell ref="D246:D247"/>
    <mergeCell ref="E246:E247"/>
    <mergeCell ref="F246:F247"/>
    <mergeCell ref="D248:D249"/>
    <mergeCell ref="E248:E249"/>
    <mergeCell ref="F248:F249"/>
    <mergeCell ref="G248:G249"/>
    <mergeCell ref="A252:A253"/>
    <mergeCell ref="J174:J175"/>
    <mergeCell ref="K174:K175"/>
    <mergeCell ref="A214:A215"/>
    <mergeCell ref="H212:H213"/>
    <mergeCell ref="I212:I213"/>
    <mergeCell ref="G174:G175"/>
    <mergeCell ref="H174:H175"/>
    <mergeCell ref="I174:I175"/>
    <mergeCell ref="C188:C189"/>
    <mergeCell ref="D188:D189"/>
    <mergeCell ref="E188:E189"/>
    <mergeCell ref="F188:F189"/>
    <mergeCell ref="G188:G189"/>
    <mergeCell ref="G186:G187"/>
    <mergeCell ref="H186:H187"/>
    <mergeCell ref="I186:I187"/>
    <mergeCell ref="I222:I223"/>
    <mergeCell ref="J222:J223"/>
    <mergeCell ref="C252:C253"/>
    <mergeCell ref="D252:D253"/>
    <mergeCell ref="K226:K227"/>
    <mergeCell ref="D232:D233"/>
    <mergeCell ref="E232:E233"/>
    <mergeCell ref="J196:J197"/>
    <mergeCell ref="J198:J199"/>
    <mergeCell ref="K244:K245"/>
    <mergeCell ref="A212:A213"/>
    <mergeCell ref="C216:C217"/>
    <mergeCell ref="D216:D217"/>
    <mergeCell ref="E216:E217"/>
    <mergeCell ref="I224:I225"/>
    <mergeCell ref="E254:E255"/>
    <mergeCell ref="F254:F255"/>
    <mergeCell ref="G254:G255"/>
    <mergeCell ref="F252:F253"/>
    <mergeCell ref="G252:G253"/>
    <mergeCell ref="D214:D215"/>
    <mergeCell ref="E214:E215"/>
    <mergeCell ref="F214:F215"/>
    <mergeCell ref="C220:C221"/>
    <mergeCell ref="D220:D221"/>
    <mergeCell ref="E220:E221"/>
    <mergeCell ref="H218:H219"/>
    <mergeCell ref="G216:G217"/>
    <mergeCell ref="H216:H217"/>
    <mergeCell ref="I216:I217"/>
    <mergeCell ref="D222:D223"/>
    <mergeCell ref="E238:E239"/>
    <mergeCell ref="F238:F239"/>
    <mergeCell ref="G238:G239"/>
    <mergeCell ref="H238:H239"/>
    <mergeCell ref="I238:I239"/>
    <mergeCell ref="C238:C239"/>
    <mergeCell ref="I232:I233"/>
    <mergeCell ref="C240:C241"/>
    <mergeCell ref="H220:H221"/>
    <mergeCell ref="F216:F217"/>
    <mergeCell ref="E252:E253"/>
    <mergeCell ref="C248:C249"/>
    <mergeCell ref="E240:E241"/>
    <mergeCell ref="F240:F241"/>
    <mergeCell ref="G226:G227"/>
    <mergeCell ref="F224:F225"/>
    <mergeCell ref="I208:I209"/>
    <mergeCell ref="F212:F213"/>
    <mergeCell ref="C208:C209"/>
    <mergeCell ref="D208:D209"/>
    <mergeCell ref="D210:D211"/>
    <mergeCell ref="I220:I221"/>
    <mergeCell ref="G208:G209"/>
    <mergeCell ref="E208:E209"/>
    <mergeCell ref="D218:D219"/>
    <mergeCell ref="E218:E219"/>
    <mergeCell ref="G212:G213"/>
    <mergeCell ref="G210:G211"/>
    <mergeCell ref="E236:E237"/>
    <mergeCell ref="F236:F237"/>
    <mergeCell ref="C224:C225"/>
    <mergeCell ref="D224:D225"/>
    <mergeCell ref="E224:E225"/>
    <mergeCell ref="F232:F233"/>
    <mergeCell ref="F234:F235"/>
    <mergeCell ref="G234:G235"/>
    <mergeCell ref="F208:F209"/>
    <mergeCell ref="H214:H215"/>
    <mergeCell ref="I214:I215"/>
    <mergeCell ref="I234:I235"/>
    <mergeCell ref="F226:F227"/>
    <mergeCell ref="G230:G231"/>
    <mergeCell ref="D230:D231"/>
    <mergeCell ref="C222:C223"/>
    <mergeCell ref="C230:C231"/>
    <mergeCell ref="H230:H231"/>
    <mergeCell ref="H236:H237"/>
    <mergeCell ref="I236:I237"/>
    <mergeCell ref="J248:J249"/>
    <mergeCell ref="K248:K249"/>
    <mergeCell ref="J250:J251"/>
    <mergeCell ref="K250:K251"/>
    <mergeCell ref="I250:I251"/>
    <mergeCell ref="H246:H247"/>
    <mergeCell ref="J246:J247"/>
    <mergeCell ref="I246:I247"/>
    <mergeCell ref="I240:I241"/>
    <mergeCell ref="I230:I231"/>
    <mergeCell ref="H228:H229"/>
    <mergeCell ref="I228:I229"/>
    <mergeCell ref="G236:G237"/>
    <mergeCell ref="I242:I243"/>
    <mergeCell ref="J228:J229"/>
    <mergeCell ref="I244:I245"/>
    <mergeCell ref="H244:H245"/>
    <mergeCell ref="J234:J235"/>
    <mergeCell ref="G246:G247"/>
    <mergeCell ref="H248:H249"/>
    <mergeCell ref="K242:K243"/>
    <mergeCell ref="J238:J239"/>
    <mergeCell ref="G244:G245"/>
    <mergeCell ref="J232:J233"/>
    <mergeCell ref="K232:K233"/>
    <mergeCell ref="J236:J237"/>
    <mergeCell ref="J91:J92"/>
    <mergeCell ref="K91:K92"/>
    <mergeCell ref="A93:A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J244:J245"/>
    <mergeCell ref="A124:A125"/>
    <mergeCell ref="C174:C175"/>
    <mergeCell ref="D174:D175"/>
    <mergeCell ref="E174:E175"/>
    <mergeCell ref="F174:F175"/>
    <mergeCell ref="H166:H167"/>
    <mergeCell ref="I166:I167"/>
    <mergeCell ref="A156:A157"/>
    <mergeCell ref="J220:J221"/>
    <mergeCell ref="K220:K221"/>
    <mergeCell ref="J224:J225"/>
    <mergeCell ref="J218:J219"/>
    <mergeCell ref="K218:K219"/>
    <mergeCell ref="J214:J215"/>
    <mergeCell ref="J216:J217"/>
    <mergeCell ref="I218:I219"/>
    <mergeCell ref="H222:H223"/>
    <mergeCell ref="G200:G201"/>
    <mergeCell ref="K216:K217"/>
    <mergeCell ref="K99:K100"/>
    <mergeCell ref="K110:K111"/>
    <mergeCell ref="H112:H113"/>
    <mergeCell ref="I112:I113"/>
    <mergeCell ref="J112:J113"/>
    <mergeCell ref="K112:K113"/>
    <mergeCell ref="A110:A111"/>
    <mergeCell ref="C110:C111"/>
    <mergeCell ref="D110:D111"/>
    <mergeCell ref="E110:E111"/>
    <mergeCell ref="F110:F111"/>
    <mergeCell ref="A108:A109"/>
    <mergeCell ref="F108:F109"/>
    <mergeCell ref="K103:K104"/>
    <mergeCell ref="J101:J102"/>
    <mergeCell ref="K101:K102"/>
    <mergeCell ref="A268:A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C260:C261"/>
    <mergeCell ref="D260:D261"/>
    <mergeCell ref="A250:A251"/>
    <mergeCell ref="J200:J201"/>
    <mergeCell ref="F202:F203"/>
    <mergeCell ref="G202:G203"/>
    <mergeCell ref="I266:I267"/>
    <mergeCell ref="J266:J267"/>
    <mergeCell ref="K266:K267"/>
    <mergeCell ref="A260:A261"/>
    <mergeCell ref="H262:H263"/>
    <mergeCell ref="I262:I263"/>
    <mergeCell ref="A270:A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E260:E261"/>
    <mergeCell ref="F260:F261"/>
    <mergeCell ref="G260:G261"/>
    <mergeCell ref="H260:H261"/>
    <mergeCell ref="A264:A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A262:A263"/>
    <mergeCell ref="D262:D263"/>
    <mergeCell ref="H65:H66"/>
    <mergeCell ref="I65:I66"/>
    <mergeCell ref="J65:J66"/>
    <mergeCell ref="K65:K66"/>
    <mergeCell ref="D120:D121"/>
    <mergeCell ref="E79:E80"/>
    <mergeCell ref="A69:A70"/>
    <mergeCell ref="A81:A82"/>
    <mergeCell ref="C81:C82"/>
    <mergeCell ref="D81:D82"/>
    <mergeCell ref="E81:E82"/>
    <mergeCell ref="A49:A50"/>
    <mergeCell ref="A272:A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I260:I261"/>
    <mergeCell ref="J260:J261"/>
    <mergeCell ref="K260:K261"/>
    <mergeCell ref="A266:A267"/>
    <mergeCell ref="C266:C267"/>
    <mergeCell ref="D266:D267"/>
    <mergeCell ref="E266:E267"/>
    <mergeCell ref="F266:F267"/>
    <mergeCell ref="G266:G267"/>
    <mergeCell ref="H266:H267"/>
  </mergeCells>
  <printOptions horizontalCentered="1"/>
  <pageMargins left="0.15748031496062992" right="3.937007874015748E-2" top="0.51181102362204722" bottom="0.43307086614173229" header="0.15748031496062992" footer="0.15748031496062992"/>
  <pageSetup paperSize="9" scale="75" firstPageNumber="10" orientation="landscape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WPF-Zał 1</vt:lpstr>
      <vt:lpstr>Zał. 2</vt:lpstr>
      <vt:lpstr>'WPF-Zał 1'!Tytuły_wydruku</vt:lpstr>
      <vt:lpstr>'Zał.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hwicik</dc:creator>
  <cp:lastModifiedBy>Renata Forysiuk</cp:lastModifiedBy>
  <cp:lastPrinted>2019-05-13T11:51:51Z</cp:lastPrinted>
  <dcterms:created xsi:type="dcterms:W3CDTF">2013-01-28T10:16:46Z</dcterms:created>
  <dcterms:modified xsi:type="dcterms:W3CDTF">2019-05-14T06:00:24Z</dcterms:modified>
</cp:coreProperties>
</file>