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420" windowWidth="14445" windowHeight="11805"/>
  </bookViews>
  <sheets>
    <sheet name="WPF-Zał 1" sheetId="1" r:id="rId1"/>
    <sheet name="WPF zał. 2" sheetId="2" r:id="rId2"/>
  </sheets>
  <definedNames>
    <definedName name="_xlnm.Print_Titles" localSheetId="1">'WPF zał. 2'!$6:$10</definedName>
    <definedName name="_xlnm.Print_Titles" localSheetId="0">'WPF-Zał 1'!$7:$7</definedName>
  </definedNames>
  <calcPr calcId="145621"/>
</workbook>
</file>

<file path=xl/calcChain.xml><?xml version="1.0" encoding="utf-8"?>
<calcChain xmlns="http://schemas.openxmlformats.org/spreadsheetml/2006/main">
  <c r="T95" i="1" l="1"/>
  <c r="T94" i="1"/>
  <c r="T93" i="1"/>
  <c r="T92" i="1"/>
  <c r="T91" i="1" l="1"/>
  <c r="T89" i="1"/>
  <c r="T77" i="1"/>
  <c r="T76" i="1"/>
  <c r="H67" i="2" l="1"/>
  <c r="L269" i="2"/>
  <c r="H269" i="2"/>
  <c r="L157" i="2"/>
  <c r="H157" i="2"/>
  <c r="L189" i="2"/>
  <c r="H189" i="2"/>
  <c r="J15" i="2" l="1"/>
  <c r="K15" i="2"/>
  <c r="F62" i="2"/>
  <c r="U76" i="1" l="1"/>
  <c r="W16" i="1" l="1"/>
  <c r="V16" i="1"/>
  <c r="U16" i="1"/>
  <c r="T16" i="1"/>
  <c r="G125" i="2"/>
  <c r="L65" i="2" l="1"/>
  <c r="K106" i="2" l="1"/>
  <c r="F269" i="2"/>
  <c r="L107" i="2"/>
  <c r="H107" i="2"/>
  <c r="L235" i="2"/>
  <c r="I235" i="2"/>
  <c r="H235" i="2"/>
  <c r="L145" i="2"/>
  <c r="H145" i="2"/>
  <c r="L253" i="2"/>
  <c r="H253" i="2"/>
  <c r="F267" i="2" l="1"/>
  <c r="I64" i="2" l="1"/>
  <c r="J64" i="2"/>
  <c r="K64" i="2"/>
  <c r="L64" i="2"/>
  <c r="F99" i="2" l="1"/>
  <c r="F97" i="2"/>
  <c r="G65" i="2"/>
  <c r="G56" i="2"/>
  <c r="L52" i="2"/>
  <c r="L15" i="2" s="1"/>
  <c r="G60" i="2"/>
  <c r="F60" i="2" s="1"/>
  <c r="G30" i="2"/>
  <c r="G179" i="2"/>
  <c r="G107" i="2"/>
  <c r="H18" i="2"/>
  <c r="G18" i="2"/>
  <c r="F265" i="2" l="1"/>
  <c r="H65" i="2"/>
  <c r="F95" i="2"/>
  <c r="F93" i="2"/>
  <c r="F91" i="2"/>
  <c r="F89" i="2"/>
  <c r="F87" i="2"/>
  <c r="F85" i="2"/>
  <c r="F83" i="2"/>
  <c r="F58" i="2"/>
  <c r="G52" i="2"/>
  <c r="H52" i="2"/>
  <c r="G22" i="2"/>
  <c r="H22" i="2"/>
  <c r="H44" i="2" l="1"/>
  <c r="G44" i="2"/>
  <c r="L125" i="2" l="1"/>
  <c r="H125" i="2"/>
  <c r="H71" i="2" l="1"/>
  <c r="G71" i="2"/>
  <c r="H181" i="2" l="1"/>
  <c r="G181" i="2"/>
  <c r="H179" i="2"/>
  <c r="H119" i="2"/>
  <c r="G119" i="2"/>
  <c r="H115" i="2"/>
  <c r="G115" i="2"/>
  <c r="H171" i="2"/>
  <c r="G171" i="2"/>
  <c r="G67" i="2"/>
  <c r="H147" i="2"/>
  <c r="G147" i="2"/>
  <c r="H81" i="2"/>
  <c r="G81" i="2"/>
  <c r="H263" i="2"/>
  <c r="G263" i="2"/>
  <c r="F263" i="2" s="1"/>
  <c r="H163" i="2"/>
  <c r="G163" i="2"/>
  <c r="H133" i="2"/>
  <c r="G133" i="2"/>
  <c r="H129" i="2"/>
  <c r="G129" i="2"/>
  <c r="G261" i="2" l="1"/>
  <c r="H261" i="2"/>
  <c r="F261" i="2" l="1"/>
  <c r="U37" i="1" l="1"/>
  <c r="S37" i="1"/>
  <c r="S36" i="1"/>
  <c r="S16" i="1" l="1"/>
  <c r="R16" i="1"/>
  <c r="Q38" i="1" l="1"/>
  <c r="Z77" i="1" l="1"/>
  <c r="Y77" i="1"/>
  <c r="X77" i="1"/>
  <c r="W77" i="1"/>
  <c r="V77" i="1"/>
  <c r="F81" i="2" l="1"/>
  <c r="F77" i="2"/>
  <c r="F75" i="2"/>
  <c r="F73" i="2"/>
  <c r="F71" i="2"/>
  <c r="F67" i="2" l="1"/>
  <c r="G54" i="2"/>
  <c r="F54" i="2" s="1"/>
  <c r="F52" i="2"/>
  <c r="F50" i="2"/>
  <c r="I48" i="2"/>
  <c r="I15" i="2" s="1"/>
  <c r="F46" i="2"/>
  <c r="F44" i="2"/>
  <c r="F42" i="2"/>
  <c r="G40" i="2"/>
  <c r="F40" i="2" s="1"/>
  <c r="G38" i="2"/>
  <c r="F38" i="2" s="1"/>
  <c r="H36" i="2"/>
  <c r="G36" i="2"/>
  <c r="G34" i="2"/>
  <c r="F34" i="2" s="1"/>
  <c r="F32" i="2"/>
  <c r="F30" i="2"/>
  <c r="G28" i="2"/>
  <c r="F28" i="2" s="1"/>
  <c r="H26" i="2"/>
  <c r="G26" i="2"/>
  <c r="H24" i="2"/>
  <c r="G24" i="2"/>
  <c r="F48" i="2" l="1"/>
  <c r="F22" i="2"/>
  <c r="F36" i="2"/>
  <c r="F26" i="2"/>
  <c r="F24" i="2"/>
  <c r="U95" i="1"/>
  <c r="V94" i="1"/>
  <c r="V95" i="1" s="1"/>
  <c r="V91" i="1"/>
  <c r="V85" i="1"/>
  <c r="W71" i="1" l="1"/>
  <c r="V71" i="1"/>
  <c r="U71" i="1"/>
  <c r="T71" i="1"/>
  <c r="R20" i="1"/>
  <c r="W15" i="1" l="1"/>
  <c r="V15" i="1"/>
  <c r="U15" i="1"/>
  <c r="T15" i="1"/>
  <c r="S15" i="1"/>
  <c r="R15" i="1"/>
  <c r="W14" i="1" l="1"/>
  <c r="V14" i="1"/>
  <c r="U14" i="1"/>
  <c r="F181" i="2" l="1"/>
  <c r="H215" i="2" l="1"/>
  <c r="G215" i="2"/>
  <c r="F215" i="2" s="1"/>
  <c r="I213" i="2"/>
  <c r="H213" i="2"/>
  <c r="G213" i="2"/>
  <c r="I211" i="2"/>
  <c r="H211" i="2"/>
  <c r="G211" i="2"/>
  <c r="I209" i="2"/>
  <c r="H209" i="2"/>
  <c r="G209" i="2"/>
  <c r="F187" i="2"/>
  <c r="H185" i="2"/>
  <c r="G185" i="2"/>
  <c r="H247" i="2"/>
  <c r="G247" i="2"/>
  <c r="F249" i="2"/>
  <c r="G245" i="2"/>
  <c r="F245" i="2" s="1"/>
  <c r="G243" i="2"/>
  <c r="F243" i="2" s="1"/>
  <c r="F227" i="2"/>
  <c r="G225" i="2"/>
  <c r="F225" i="2" s="1"/>
  <c r="G223" i="2"/>
  <c r="F223" i="2" s="1"/>
  <c r="F213" i="2" l="1"/>
  <c r="F211" i="2"/>
  <c r="F209" i="2"/>
  <c r="F185" i="2"/>
  <c r="F247" i="2"/>
  <c r="F259" i="2" l="1"/>
  <c r="F257" i="2"/>
  <c r="F255" i="2"/>
  <c r="F253" i="2"/>
  <c r="F239" i="2"/>
  <c r="F235" i="2"/>
  <c r="F217" i="2"/>
  <c r="F121" i="2"/>
  <c r="F69" i="2"/>
  <c r="F56" i="2"/>
  <c r="G203" i="2"/>
  <c r="F203" i="2" s="1"/>
  <c r="G157" i="2"/>
  <c r="G169" i="2" l="1"/>
  <c r="F169" i="2" s="1"/>
  <c r="G165" i="2"/>
  <c r="F165" i="2" s="1"/>
  <c r="G137" i="2"/>
  <c r="F137" i="2" s="1"/>
  <c r="F171" i="2"/>
  <c r="G233" i="2" l="1"/>
  <c r="F233" i="2" s="1"/>
  <c r="G251" i="2" l="1"/>
  <c r="F251" i="2" s="1"/>
  <c r="G241" i="2"/>
  <c r="F241" i="2" s="1"/>
  <c r="G237" i="2"/>
  <c r="F237" i="2" s="1"/>
  <c r="G231" i="2"/>
  <c r="F231" i="2" s="1"/>
  <c r="G221" i="2"/>
  <c r="F221" i="2" s="1"/>
  <c r="G219" i="2"/>
  <c r="F219" i="2" s="1"/>
  <c r="G207" i="2"/>
  <c r="G205" i="2"/>
  <c r="G201" i="2"/>
  <c r="G199" i="2"/>
  <c r="F199" i="2" s="1"/>
  <c r="G197" i="2"/>
  <c r="F197" i="2" s="1"/>
  <c r="G193" i="2"/>
  <c r="G191" i="2"/>
  <c r="G189" i="2"/>
  <c r="F189" i="2" s="1"/>
  <c r="G183" i="2"/>
  <c r="F183" i="2" s="1"/>
  <c r="G177" i="2"/>
  <c r="G173" i="2"/>
  <c r="F173" i="2" s="1"/>
  <c r="G167" i="2"/>
  <c r="F167" i="2" s="1"/>
  <c r="G161" i="2"/>
  <c r="G159" i="2"/>
  <c r="G155" i="2"/>
  <c r="F155" i="2" s="1"/>
  <c r="G153" i="2"/>
  <c r="G149" i="2"/>
  <c r="G145" i="2"/>
  <c r="G143" i="2"/>
  <c r="G141" i="2"/>
  <c r="G139" i="2"/>
  <c r="F139" i="2" s="1"/>
  <c r="F133" i="2"/>
  <c r="G131" i="2"/>
  <c r="F131" i="2" s="1"/>
  <c r="G123" i="2"/>
  <c r="G117" i="2"/>
  <c r="F117" i="2" s="1"/>
  <c r="G111" i="2"/>
  <c r="F111" i="2" s="1"/>
  <c r="G109" i="2"/>
  <c r="G79" i="2"/>
  <c r="G64" i="2" s="1"/>
  <c r="F107" i="2" l="1"/>
  <c r="G20" i="2"/>
  <c r="F18" i="2"/>
  <c r="G16" i="2"/>
  <c r="G15" i="2" s="1"/>
  <c r="F16" i="2" l="1"/>
  <c r="R71" i="1"/>
  <c r="R112" i="1"/>
  <c r="R110" i="1"/>
  <c r="R97" i="1"/>
  <c r="R98" i="1" s="1"/>
  <c r="R99" i="1" s="1"/>
  <c r="R92" i="1"/>
  <c r="R90" i="1"/>
  <c r="R89" i="1"/>
  <c r="R87" i="1"/>
  <c r="R86" i="1"/>
  <c r="R85" i="1"/>
  <c r="R84" i="1"/>
  <c r="R83" i="1"/>
  <c r="R82" i="1"/>
  <c r="R81" i="1"/>
  <c r="R80" i="1"/>
  <c r="R78" i="1"/>
  <c r="R77" i="1"/>
  <c r="R76" i="1"/>
  <c r="R73" i="1"/>
  <c r="R72" i="1"/>
  <c r="R65" i="1"/>
  <c r="R64" i="1"/>
  <c r="R55" i="1"/>
  <c r="R51" i="1"/>
  <c r="R44" i="1" s="1"/>
  <c r="R52" i="1" s="1"/>
  <c r="R46" i="1"/>
  <c r="R45" i="1"/>
  <c r="R41" i="1"/>
  <c r="R40" i="1"/>
  <c r="R37" i="1"/>
  <c r="R36" i="1"/>
  <c r="R56" i="1" s="1"/>
  <c r="R35" i="1"/>
  <c r="R28" i="1"/>
  <c r="R21" i="1"/>
  <c r="R19" i="1"/>
  <c r="R8" i="1"/>
  <c r="R59" i="1" s="1"/>
  <c r="R62" i="1" l="1"/>
  <c r="T64" i="1" s="1"/>
  <c r="R61" i="1"/>
  <c r="R67" i="1" s="1"/>
  <c r="R34" i="1"/>
  <c r="R58" i="1"/>
  <c r="R63" i="1"/>
  <c r="R66" i="1" l="1"/>
  <c r="S77" i="1" l="1"/>
  <c r="S78" i="1"/>
  <c r="S72" i="1" l="1"/>
  <c r="S92" i="1" l="1"/>
  <c r="S86" i="1"/>
  <c r="S76" i="1" l="1"/>
  <c r="H229" i="2" l="1"/>
  <c r="F229" i="2" s="1"/>
  <c r="H195" i="2"/>
  <c r="F195" i="2" s="1"/>
  <c r="H135" i="2"/>
  <c r="F135" i="2" s="1"/>
  <c r="H123" i="2" l="1"/>
  <c r="F123" i="2" s="1"/>
  <c r="J175" i="2"/>
  <c r="I175" i="2"/>
  <c r="H175" i="2"/>
  <c r="F175" i="2" l="1"/>
  <c r="S85" i="1" l="1"/>
  <c r="S91" i="1" l="1"/>
  <c r="S90" i="1"/>
  <c r="S89" i="1"/>
  <c r="S87" i="1"/>
  <c r="S84" i="1"/>
  <c r="S83" i="1"/>
  <c r="S81" i="1"/>
  <c r="S80" i="1"/>
  <c r="S20" i="1"/>
  <c r="S19" i="1"/>
  <c r="H191" i="2" l="1"/>
  <c r="F191" i="2" s="1"/>
  <c r="H20" i="2" l="1"/>
  <c r="H15" i="2" s="1"/>
  <c r="F20" i="2" l="1"/>
  <c r="F15" i="2" s="1"/>
  <c r="F65" i="2"/>
  <c r="F179" i="2" l="1"/>
  <c r="H207" i="2"/>
  <c r="F207" i="2" s="1"/>
  <c r="H177" i="2"/>
  <c r="F177" i="2" s="1"/>
  <c r="H161" i="2"/>
  <c r="F161" i="2" s="1"/>
  <c r="F129" i="2" l="1"/>
  <c r="H193" i="2"/>
  <c r="F193" i="2" s="1"/>
  <c r="H79" i="2"/>
  <c r="H64" i="2" s="1"/>
  <c r="F79" i="2" l="1"/>
  <c r="F64" i="2" s="1"/>
  <c r="I119" i="2"/>
  <c r="H159" i="2"/>
  <c r="F159" i="2" s="1"/>
  <c r="F119" i="2" l="1"/>
  <c r="H201" i="2"/>
  <c r="F201" i="2" s="1"/>
  <c r="H205" i="2"/>
  <c r="F205" i="2" s="1"/>
  <c r="F125" i="2"/>
  <c r="H143" i="2" l="1"/>
  <c r="F143" i="2" s="1"/>
  <c r="L149" i="2" l="1"/>
  <c r="H149" i="2"/>
  <c r="F149" i="2" s="1"/>
  <c r="L175" i="2" l="1"/>
  <c r="L106" i="2" s="1"/>
  <c r="I163" i="2"/>
  <c r="J157" i="2"/>
  <c r="J106" i="2" s="1"/>
  <c r="I157" i="2"/>
  <c r="H153" i="2"/>
  <c r="F153" i="2" s="1"/>
  <c r="G151" i="2"/>
  <c r="F151" i="2" s="1"/>
  <c r="I147" i="2"/>
  <c r="F145" i="2"/>
  <c r="H141" i="2"/>
  <c r="F141" i="2" s="1"/>
  <c r="G127" i="2"/>
  <c r="F127" i="2" s="1"/>
  <c r="D117" i="2"/>
  <c r="F115" i="2"/>
  <c r="G113" i="2"/>
  <c r="G106" i="2" s="1"/>
  <c r="H109" i="2"/>
  <c r="K101" i="2"/>
  <c r="J101" i="2"/>
  <c r="I101" i="2"/>
  <c r="H101" i="2"/>
  <c r="G101" i="2"/>
  <c r="F101" i="2"/>
  <c r="K14" i="2"/>
  <c r="J14" i="2"/>
  <c r="I14" i="2"/>
  <c r="J12" i="2"/>
  <c r="I12" i="2"/>
  <c r="I106" i="2" l="1"/>
  <c r="H106" i="2"/>
  <c r="H104" i="2" s="1"/>
  <c r="F157" i="2"/>
  <c r="F147" i="2"/>
  <c r="F163" i="2"/>
  <c r="I13" i="2"/>
  <c r="I11" i="2" s="1"/>
  <c r="F109" i="2"/>
  <c r="F113" i="2"/>
  <c r="H14" i="2"/>
  <c r="G12" i="2"/>
  <c r="L12" i="2"/>
  <c r="J104" i="2"/>
  <c r="J13" i="2"/>
  <c r="J11" i="2" s="1"/>
  <c r="K13" i="2"/>
  <c r="K12" i="2"/>
  <c r="K104" i="2"/>
  <c r="F106" i="2" l="1"/>
  <c r="F104" i="2" s="1"/>
  <c r="L13" i="2"/>
  <c r="L11" i="2" s="1"/>
  <c r="L14" i="2"/>
  <c r="H12" i="2"/>
  <c r="I104" i="2"/>
  <c r="G14" i="2"/>
  <c r="K11" i="2"/>
  <c r="L104" i="2"/>
  <c r="H13" i="2"/>
  <c r="G104" i="2"/>
  <c r="G13" i="2"/>
  <c r="G11" i="2" s="1"/>
  <c r="H11" i="2" l="1"/>
  <c r="F14" i="2"/>
  <c r="F12" i="2"/>
  <c r="F13" i="2"/>
  <c r="F11" i="2" l="1"/>
  <c r="Q95" i="1" l="1"/>
  <c r="Q94" i="1"/>
  <c r="Q93" i="1"/>
  <c r="Q92" i="1"/>
  <c r="S51" i="1" l="1"/>
  <c r="T42" i="1"/>
  <c r="V110" i="1" l="1"/>
  <c r="Q72" i="1" l="1"/>
  <c r="V45" i="1"/>
  <c r="S41" i="1"/>
  <c r="S40" i="1"/>
  <c r="Q16" i="1"/>
  <c r="X72" i="1" l="1"/>
  <c r="Y72" i="1" s="1"/>
  <c r="U110" i="1" l="1"/>
  <c r="T110" i="1"/>
  <c r="S110" i="1"/>
  <c r="U45" i="1" l="1"/>
  <c r="P95" i="1" l="1"/>
  <c r="P94" i="1"/>
  <c r="P93" i="1"/>
  <c r="P92" i="1"/>
  <c r="P91" i="1"/>
  <c r="P90" i="1"/>
  <c r="P89" i="1"/>
  <c r="P88" i="1"/>
  <c r="P87" i="1"/>
  <c r="P86" i="1"/>
  <c r="P84" i="1"/>
  <c r="P85" i="1" s="1"/>
  <c r="P83" i="1"/>
  <c r="P82" i="1"/>
  <c r="P81" i="1"/>
  <c r="P80" i="1"/>
  <c r="P78" i="1"/>
  <c r="P72" i="1" l="1"/>
  <c r="P16" i="1" l="1"/>
  <c r="P15" i="1"/>
  <c r="U11" i="1"/>
  <c r="V11" i="1" s="1"/>
  <c r="Q112" i="1" l="1"/>
  <c r="Q98" i="1"/>
  <c r="Q99" i="1" s="1"/>
  <c r="Q76" i="1"/>
  <c r="Q77" i="1" s="1"/>
  <c r="Q73" i="1"/>
  <c r="Q46" i="1"/>
  <c r="Q44" i="1"/>
  <c r="Q35" i="1"/>
  <c r="Q21" i="1"/>
  <c r="Q55" i="1"/>
  <c r="Q8" i="1"/>
  <c r="Q34" i="1" l="1"/>
  <c r="Q61" i="1"/>
  <c r="Q56" i="1"/>
  <c r="Q62" i="1"/>
  <c r="Q58" i="1"/>
  <c r="Q63" i="1"/>
  <c r="Q59" i="1"/>
  <c r="T45" i="1" l="1"/>
  <c r="S45" i="1"/>
  <c r="P76" i="1" l="1"/>
  <c r="P77" i="1" s="1"/>
  <c r="P12" i="1"/>
  <c r="O87" i="1" l="1"/>
  <c r="O76" i="1"/>
  <c r="O20" i="1"/>
  <c r="O77" i="1" l="1"/>
  <c r="O72" i="1"/>
  <c r="O16" i="1"/>
  <c r="P21" i="1" l="1"/>
  <c r="N88" i="1" l="1"/>
  <c r="O15" i="1" l="1"/>
  <c r="P14" i="1"/>
  <c r="P19" i="1" l="1"/>
  <c r="N95" i="1" l="1"/>
  <c r="N94" i="1"/>
  <c r="N93" i="1"/>
  <c r="N92" i="1"/>
  <c r="N91" i="1"/>
  <c r="N90" i="1"/>
  <c r="N89" i="1"/>
  <c r="N87" i="1"/>
  <c r="N86" i="1"/>
  <c r="N85" i="1"/>
  <c r="N84" i="1"/>
  <c r="N83" i="1"/>
  <c r="N82" i="1"/>
  <c r="N81" i="1"/>
  <c r="N80" i="1"/>
  <c r="N76" i="1" l="1"/>
  <c r="N77" i="1" s="1"/>
  <c r="N78" i="1" l="1"/>
  <c r="N72" i="1" l="1"/>
  <c r="N20" i="1"/>
  <c r="N16" i="1"/>
  <c r="N14" i="1"/>
  <c r="N112" i="1"/>
  <c r="N73" i="1"/>
  <c r="N56" i="1"/>
  <c r="N55" i="1"/>
  <c r="N45" i="1"/>
  <c r="N44" i="1" s="1"/>
  <c r="N41" i="1"/>
  <c r="N40" i="1"/>
  <c r="N37" i="1"/>
  <c r="N28" i="1"/>
  <c r="N21" i="1"/>
  <c r="N15" i="1"/>
  <c r="N8" i="1"/>
  <c r="N62" i="1" s="1"/>
  <c r="N61" i="1" l="1"/>
  <c r="N35" i="1"/>
  <c r="N58" i="1"/>
  <c r="N63" i="1"/>
  <c r="N59" i="1"/>
  <c r="N34" i="1"/>
  <c r="P110" i="1" l="1"/>
  <c r="O40" i="1" l="1"/>
  <c r="Z112" i="1" l="1"/>
  <c r="Y112" i="1"/>
  <c r="X112" i="1"/>
  <c r="W112" i="1"/>
  <c r="V112" i="1"/>
  <c r="U112" i="1"/>
  <c r="T112" i="1"/>
  <c r="S112" i="1"/>
  <c r="P112" i="1"/>
  <c r="O112" i="1"/>
  <c r="M112" i="1"/>
  <c r="L112" i="1"/>
  <c r="K112" i="1"/>
  <c r="J112" i="1"/>
  <c r="L99" i="1"/>
  <c r="I99" i="1"/>
  <c r="H99" i="1"/>
  <c r="G99" i="1"/>
  <c r="F99" i="1"/>
  <c r="P98" i="1"/>
  <c r="P99" i="1" s="1"/>
  <c r="J98" i="1"/>
  <c r="I98" i="1"/>
  <c r="H98" i="1"/>
  <c r="G98" i="1"/>
  <c r="F98" i="1"/>
  <c r="I97" i="1"/>
  <c r="H97" i="1"/>
  <c r="G97" i="1"/>
  <c r="F97" i="1"/>
  <c r="J96" i="1"/>
  <c r="I96" i="1"/>
  <c r="H96" i="1"/>
  <c r="G96" i="1"/>
  <c r="F96" i="1"/>
  <c r="M95" i="1"/>
  <c r="I95" i="1"/>
  <c r="H95" i="1"/>
  <c r="G95" i="1"/>
  <c r="F95" i="1"/>
  <c r="S97" i="1"/>
  <c r="S98" i="1" s="1"/>
  <c r="S99" i="1" s="1"/>
  <c r="M94" i="1"/>
  <c r="J94" i="1"/>
  <c r="I94" i="1"/>
  <c r="H94" i="1"/>
  <c r="G94" i="1"/>
  <c r="F94" i="1"/>
  <c r="T97" i="1"/>
  <c r="T98" i="1" s="1"/>
  <c r="T99" i="1" s="1"/>
  <c r="I93" i="1"/>
  <c r="H93" i="1"/>
  <c r="G93" i="1"/>
  <c r="F93" i="1"/>
  <c r="J92" i="1"/>
  <c r="I92" i="1"/>
  <c r="H92" i="1"/>
  <c r="G92" i="1"/>
  <c r="F92" i="1"/>
  <c r="Z91" i="1"/>
  <c r="Z92" i="1" s="1"/>
  <c r="Z93" i="1" s="1"/>
  <c r="Z94" i="1" s="1"/>
  <c r="Z95" i="1" s="1"/>
  <c r="Z96" i="1" s="1"/>
  <c r="Z97" i="1" s="1"/>
  <c r="Z98" i="1" s="1"/>
  <c r="Z99" i="1" s="1"/>
  <c r="Y91" i="1"/>
  <c r="Y92" i="1" s="1"/>
  <c r="Y93" i="1" s="1"/>
  <c r="Y94" i="1" s="1"/>
  <c r="Y95" i="1" s="1"/>
  <c r="Y96" i="1" s="1"/>
  <c r="Y97" i="1" s="1"/>
  <c r="Y98" i="1" s="1"/>
  <c r="Y99" i="1" s="1"/>
  <c r="X91" i="1"/>
  <c r="X92" i="1" s="1"/>
  <c r="X93" i="1" s="1"/>
  <c r="X94" i="1" s="1"/>
  <c r="X95" i="1" s="1"/>
  <c r="X96" i="1" s="1"/>
  <c r="X97" i="1" s="1"/>
  <c r="X98" i="1" s="1"/>
  <c r="X99" i="1" s="1"/>
  <c r="W91" i="1"/>
  <c r="W92" i="1" s="1"/>
  <c r="W93" i="1" s="1"/>
  <c r="W94" i="1" s="1"/>
  <c r="W95" i="1" s="1"/>
  <c r="W96" i="1" s="1"/>
  <c r="W97" i="1" s="1"/>
  <c r="W98" i="1" s="1"/>
  <c r="W99" i="1" s="1"/>
  <c r="V96" i="1"/>
  <c r="V97" i="1" s="1"/>
  <c r="V98" i="1" s="1"/>
  <c r="V99" i="1" s="1"/>
  <c r="U97" i="1"/>
  <c r="U98" i="1" s="1"/>
  <c r="U99" i="1" s="1"/>
  <c r="M91" i="1"/>
  <c r="J91" i="1"/>
  <c r="I91" i="1"/>
  <c r="H91" i="1"/>
  <c r="G91" i="1"/>
  <c r="F91" i="1"/>
  <c r="I90" i="1"/>
  <c r="H90" i="1"/>
  <c r="G90" i="1"/>
  <c r="F90" i="1"/>
  <c r="M89" i="1"/>
  <c r="J89" i="1"/>
  <c r="I89" i="1"/>
  <c r="H89" i="1"/>
  <c r="G89" i="1"/>
  <c r="F89" i="1"/>
  <c r="Z88" i="1"/>
  <c r="Y88" i="1"/>
  <c r="X88" i="1"/>
  <c r="W88" i="1"/>
  <c r="I88" i="1"/>
  <c r="H88" i="1"/>
  <c r="G88" i="1"/>
  <c r="F88" i="1"/>
  <c r="J87" i="1"/>
  <c r="J88" i="1" s="1"/>
  <c r="I87" i="1"/>
  <c r="H87" i="1"/>
  <c r="G87" i="1"/>
  <c r="F87" i="1"/>
  <c r="J86" i="1"/>
  <c r="I86" i="1"/>
  <c r="H86" i="1"/>
  <c r="G86" i="1"/>
  <c r="F86" i="1"/>
  <c r="Z85" i="1"/>
  <c r="Y85" i="1"/>
  <c r="X85" i="1"/>
  <c r="W85" i="1"/>
  <c r="L85" i="1"/>
  <c r="I85" i="1"/>
  <c r="H85" i="1"/>
  <c r="G85" i="1"/>
  <c r="F85" i="1"/>
  <c r="L84" i="1"/>
  <c r="J84" i="1"/>
  <c r="J85" i="1" s="1"/>
  <c r="I84" i="1"/>
  <c r="H84" i="1"/>
  <c r="G84" i="1"/>
  <c r="F84" i="1"/>
  <c r="L83" i="1"/>
  <c r="J83" i="1"/>
  <c r="I83" i="1"/>
  <c r="H83" i="1"/>
  <c r="G83" i="1"/>
  <c r="F83" i="1"/>
  <c r="I82" i="1"/>
  <c r="H82" i="1"/>
  <c r="G82" i="1"/>
  <c r="F82" i="1"/>
  <c r="J81" i="1"/>
  <c r="J82" i="1" s="1"/>
  <c r="I81" i="1"/>
  <c r="H81" i="1"/>
  <c r="G81" i="1"/>
  <c r="F81" i="1"/>
  <c r="J80" i="1"/>
  <c r="I80" i="1"/>
  <c r="H80" i="1"/>
  <c r="G80" i="1"/>
  <c r="F80" i="1"/>
  <c r="L78" i="1"/>
  <c r="K77" i="1"/>
  <c r="K76" i="1" s="1"/>
  <c r="V76" i="1"/>
  <c r="U77" i="1"/>
  <c r="L76" i="1"/>
  <c r="L77" i="1" s="1"/>
  <c r="J76" i="1"/>
  <c r="J77" i="1" s="1"/>
  <c r="M75" i="1"/>
  <c r="M73" i="1" s="1"/>
  <c r="I75" i="1"/>
  <c r="H75" i="1"/>
  <c r="G75" i="1"/>
  <c r="I74" i="1"/>
  <c r="H74" i="1"/>
  <c r="G74" i="1"/>
  <c r="Z73" i="1"/>
  <c r="Y73" i="1"/>
  <c r="X73" i="1"/>
  <c r="W73" i="1"/>
  <c r="V73" i="1"/>
  <c r="U73" i="1"/>
  <c r="T73" i="1"/>
  <c r="S73" i="1"/>
  <c r="P73" i="1"/>
  <c r="O73" i="1"/>
  <c r="L73" i="1"/>
  <c r="K73" i="1"/>
  <c r="J73" i="1"/>
  <c r="I73" i="1"/>
  <c r="H73" i="1"/>
  <c r="G73" i="1"/>
  <c r="Z72" i="1"/>
  <c r="L72" i="1"/>
  <c r="J72" i="1"/>
  <c r="X71" i="1"/>
  <c r="Y71" i="1" s="1"/>
  <c r="Z71" i="1" s="1"/>
  <c r="I71" i="1"/>
  <c r="H71" i="1"/>
  <c r="G71" i="1"/>
  <c r="F71" i="1"/>
  <c r="V56" i="1"/>
  <c r="U56" i="1"/>
  <c r="T56" i="1"/>
  <c r="S56" i="1"/>
  <c r="P56" i="1"/>
  <c r="O56" i="1"/>
  <c r="M56" i="1"/>
  <c r="L56" i="1"/>
  <c r="K56" i="1"/>
  <c r="J56" i="1"/>
  <c r="I56" i="1"/>
  <c r="H56" i="1"/>
  <c r="G56" i="1"/>
  <c r="F56" i="1"/>
  <c r="V55" i="1"/>
  <c r="U55" i="1"/>
  <c r="T55" i="1"/>
  <c r="S55" i="1"/>
  <c r="P55" i="1"/>
  <c r="O55" i="1"/>
  <c r="M55" i="1"/>
  <c r="L55" i="1"/>
  <c r="K55" i="1"/>
  <c r="J55" i="1"/>
  <c r="I55" i="1"/>
  <c r="H55" i="1"/>
  <c r="G55" i="1"/>
  <c r="F55" i="1"/>
  <c r="Z46" i="1"/>
  <c r="Y46" i="1"/>
  <c r="X46" i="1"/>
  <c r="W46" i="1"/>
  <c r="V46" i="1"/>
  <c r="U46" i="1"/>
  <c r="T46" i="1"/>
  <c r="S46" i="1"/>
  <c r="P46" i="1"/>
  <c r="M46" i="1"/>
  <c r="L46" i="1"/>
  <c r="O45" i="1"/>
  <c r="O44" i="1" s="1"/>
  <c r="Z44" i="1"/>
  <c r="Y44" i="1"/>
  <c r="X44" i="1"/>
  <c r="W44" i="1"/>
  <c r="V44" i="1"/>
  <c r="U44" i="1"/>
  <c r="T44" i="1"/>
  <c r="S44" i="1"/>
  <c r="P44" i="1"/>
  <c r="M44" i="1"/>
  <c r="L44" i="1"/>
  <c r="K44" i="1"/>
  <c r="J44" i="1"/>
  <c r="I44" i="1"/>
  <c r="H44" i="1"/>
  <c r="G44" i="1"/>
  <c r="F44" i="1"/>
  <c r="M41" i="1"/>
  <c r="L41" i="1"/>
  <c r="M40" i="1"/>
  <c r="M35" i="1" s="1"/>
  <c r="L40" i="1"/>
  <c r="L35" i="1" s="1"/>
  <c r="O37" i="1"/>
  <c r="L37" i="1"/>
  <c r="J37" i="1"/>
  <c r="Z35" i="1"/>
  <c r="Y35" i="1"/>
  <c r="X35" i="1"/>
  <c r="W35" i="1"/>
  <c r="V35" i="1"/>
  <c r="U35" i="1"/>
  <c r="T35" i="1"/>
  <c r="S35" i="1"/>
  <c r="P35" i="1"/>
  <c r="O35" i="1"/>
  <c r="K35" i="1"/>
  <c r="J35" i="1"/>
  <c r="I35" i="1"/>
  <c r="H35" i="1"/>
  <c r="G35" i="1"/>
  <c r="F35" i="1"/>
  <c r="Z28" i="1"/>
  <c r="Y28" i="1"/>
  <c r="X28" i="1"/>
  <c r="W28" i="1"/>
  <c r="V28" i="1"/>
  <c r="U28" i="1"/>
  <c r="T28" i="1"/>
  <c r="S28" i="1"/>
  <c r="P28" i="1"/>
  <c r="O28" i="1"/>
  <c r="M28" i="1"/>
  <c r="L28" i="1"/>
  <c r="J28" i="1"/>
  <c r="L24" i="1"/>
  <c r="Z21" i="1"/>
  <c r="Y21" i="1"/>
  <c r="X21" i="1"/>
  <c r="W21" i="1"/>
  <c r="V21" i="1"/>
  <c r="U21" i="1"/>
  <c r="T21" i="1"/>
  <c r="S21" i="1"/>
  <c r="O21" i="1"/>
  <c r="M21" i="1"/>
  <c r="L21" i="1"/>
  <c r="K21" i="1"/>
  <c r="J21" i="1"/>
  <c r="I21" i="1"/>
  <c r="H21" i="1"/>
  <c r="G21" i="1"/>
  <c r="F21" i="1"/>
  <c r="M20" i="1"/>
  <c r="L20" i="1"/>
  <c r="K20" i="1"/>
  <c r="J20" i="1"/>
  <c r="H20" i="1"/>
  <c r="J19" i="1"/>
  <c r="X16" i="1"/>
  <c r="Y16" i="1" s="1"/>
  <c r="Z16" i="1" s="1"/>
  <c r="M16" i="1"/>
  <c r="L16" i="1"/>
  <c r="K16" i="1"/>
  <c r="J16" i="1"/>
  <c r="X15" i="1"/>
  <c r="Y15" i="1" s="1"/>
  <c r="Z15" i="1" s="1"/>
  <c r="M15" i="1"/>
  <c r="L15" i="1"/>
  <c r="K15" i="1"/>
  <c r="J15" i="1"/>
  <c r="H15" i="1"/>
  <c r="G15" i="1"/>
  <c r="F15" i="1"/>
  <c r="X14" i="1"/>
  <c r="Y14" i="1" s="1"/>
  <c r="Z14" i="1" s="1"/>
  <c r="L14" i="1"/>
  <c r="X13" i="1"/>
  <c r="Y13" i="1" s="1"/>
  <c r="Z13" i="1" s="1"/>
  <c r="W12" i="1"/>
  <c r="X12" i="1" s="1"/>
  <c r="Y12" i="1" s="1"/>
  <c r="Z12" i="1" s="1"/>
  <c r="W11" i="1"/>
  <c r="X11" i="1" s="1"/>
  <c r="Y11" i="1" s="1"/>
  <c r="Z11" i="1" s="1"/>
  <c r="V8" i="1"/>
  <c r="V63" i="1" s="1"/>
  <c r="U8" i="1"/>
  <c r="U62" i="1" s="1"/>
  <c r="T8" i="1"/>
  <c r="T63" i="1" s="1"/>
  <c r="S8" i="1"/>
  <c r="P8" i="1"/>
  <c r="P62" i="1" s="1"/>
  <c r="O8" i="1"/>
  <c r="O62" i="1" s="1"/>
  <c r="M8" i="1"/>
  <c r="M63" i="1" s="1"/>
  <c r="L8" i="1"/>
  <c r="K8" i="1"/>
  <c r="K63" i="1" s="1"/>
  <c r="J8" i="1"/>
  <c r="J63" i="1" s="1"/>
  <c r="I8" i="1"/>
  <c r="H8" i="1"/>
  <c r="G8" i="1"/>
  <c r="G63" i="1" s="1"/>
  <c r="F8" i="1"/>
  <c r="F63" i="1" s="1"/>
  <c r="M34" i="1" l="1"/>
  <c r="M59" i="1"/>
  <c r="I34" i="1"/>
  <c r="M61" i="1"/>
  <c r="M76" i="1"/>
  <c r="M77" i="1" s="1"/>
  <c r="M62" i="1"/>
  <c r="M58" i="1"/>
  <c r="H34" i="1"/>
  <c r="L34" i="1"/>
  <c r="S59" i="1"/>
  <c r="M52" i="1"/>
  <c r="N52" i="1" s="1"/>
  <c r="F34" i="1"/>
  <c r="J34" i="1"/>
  <c r="H58" i="1"/>
  <c r="L58" i="1"/>
  <c r="H59" i="1"/>
  <c r="L59" i="1"/>
  <c r="H61" i="1"/>
  <c r="L61" i="1"/>
  <c r="H62" i="1"/>
  <c r="L62" i="1"/>
  <c r="H63" i="1"/>
  <c r="J64" i="1" s="1"/>
  <c r="L63" i="1"/>
  <c r="G34" i="1"/>
  <c r="K34" i="1"/>
  <c r="I58" i="1"/>
  <c r="I59" i="1"/>
  <c r="I61" i="1"/>
  <c r="I62" i="1"/>
  <c r="I63" i="1"/>
  <c r="J65" i="1" s="1"/>
  <c r="F58" i="1"/>
  <c r="J58" i="1"/>
  <c r="F59" i="1"/>
  <c r="J59" i="1"/>
  <c r="F61" i="1"/>
  <c r="J61" i="1"/>
  <c r="F62" i="1"/>
  <c r="J62" i="1"/>
  <c r="G58" i="1"/>
  <c r="K58" i="1"/>
  <c r="G59" i="1"/>
  <c r="K59" i="1"/>
  <c r="G61" i="1"/>
  <c r="K61" i="1"/>
  <c r="G62" i="1"/>
  <c r="K62" i="1"/>
  <c r="W8" i="1"/>
  <c r="W34" i="1" s="1"/>
  <c r="W68" i="1" s="1"/>
  <c r="W69" i="1" s="1"/>
  <c r="V59" i="1"/>
  <c r="W55" i="1"/>
  <c r="V61" i="1"/>
  <c r="V62" i="1"/>
  <c r="V34" i="1"/>
  <c r="V69" i="1" s="1"/>
  <c r="X9" i="1"/>
  <c r="W56" i="1"/>
  <c r="V58" i="1"/>
  <c r="U58" i="1"/>
  <c r="U61" i="1"/>
  <c r="U63" i="1"/>
  <c r="U34" i="1"/>
  <c r="U59" i="1"/>
  <c r="T62" i="1"/>
  <c r="T34" i="1"/>
  <c r="T61" i="1"/>
  <c r="T59" i="1"/>
  <c r="T58" i="1"/>
  <c r="S58" i="1"/>
  <c r="S61" i="1"/>
  <c r="S62" i="1"/>
  <c r="S63" i="1"/>
  <c r="S34" i="1"/>
  <c r="P58" i="1"/>
  <c r="P63" i="1"/>
  <c r="P59" i="1"/>
  <c r="P61" i="1"/>
  <c r="P34" i="1"/>
  <c r="P65" i="1"/>
  <c r="O34" i="1"/>
  <c r="O58" i="1"/>
  <c r="O61" i="1"/>
  <c r="O63" i="1"/>
  <c r="O59" i="1"/>
  <c r="V64" i="1" l="1"/>
  <c r="U64" i="1"/>
  <c r="T65" i="1"/>
  <c r="P64" i="1"/>
  <c r="Q65" i="1"/>
  <c r="Q67" i="1" s="1"/>
  <c r="Q64" i="1"/>
  <c r="Q66" i="1" s="1"/>
  <c r="S65" i="1"/>
  <c r="S64" i="1"/>
  <c r="W64" i="1"/>
  <c r="W65" i="1"/>
  <c r="U65" i="1"/>
  <c r="U67" i="1" s="1"/>
  <c r="T66" i="1"/>
  <c r="V66" i="1"/>
  <c r="V65" i="1"/>
  <c r="V67" i="1" s="1"/>
  <c r="O52" i="1"/>
  <c r="Q52" i="1" s="1"/>
  <c r="S52" i="1" s="1"/>
  <c r="N65" i="1"/>
  <c r="N67" i="1" s="1"/>
  <c r="N64" i="1"/>
  <c r="N66" i="1" s="1"/>
  <c r="W61" i="1"/>
  <c r="W63" i="1"/>
  <c r="W59" i="1"/>
  <c r="W58" i="1"/>
  <c r="K65" i="1"/>
  <c r="K64" i="1"/>
  <c r="M65" i="1"/>
  <c r="M67" i="1" s="1"/>
  <c r="L65" i="1"/>
  <c r="L67" i="1" s="1"/>
  <c r="M64" i="1"/>
  <c r="M66" i="1" s="1"/>
  <c r="L64" i="1"/>
  <c r="L66" i="1" s="1"/>
  <c r="O65" i="1"/>
  <c r="O67" i="1" s="1"/>
  <c r="O64" i="1"/>
  <c r="O66" i="1" s="1"/>
  <c r="K67" i="1"/>
  <c r="K66" i="1"/>
  <c r="J67" i="1"/>
  <c r="J66" i="1"/>
  <c r="W62" i="1"/>
  <c r="X65" i="1" s="1"/>
  <c r="S66" i="1"/>
  <c r="S67" i="1"/>
  <c r="P66" i="1"/>
  <c r="U66" i="1"/>
  <c r="X8" i="1"/>
  <c r="X63" i="1" s="1"/>
  <c r="X55" i="1"/>
  <c r="X56" i="1"/>
  <c r="Y9" i="1"/>
  <c r="T67" i="1"/>
  <c r="P67" i="1"/>
  <c r="P52" i="1" l="1"/>
  <c r="T52" i="1"/>
  <c r="U52" i="1" s="1"/>
  <c r="V52" i="1" s="1"/>
  <c r="W52" i="1" s="1"/>
  <c r="X52" i="1" s="1"/>
  <c r="Y52" i="1" s="1"/>
  <c r="Z52" i="1" s="1"/>
  <c r="W66" i="1"/>
  <c r="W67" i="1"/>
  <c r="X62" i="1"/>
  <c r="Y65" i="1" s="1"/>
  <c r="X64" i="1"/>
  <c r="Y55" i="1"/>
  <c r="Z9" i="1"/>
  <c r="Y8" i="1"/>
  <c r="Y62" i="1" s="1"/>
  <c r="Y56" i="1"/>
  <c r="X61" i="1"/>
  <c r="X59" i="1"/>
  <c r="X58" i="1"/>
  <c r="X34" i="1"/>
  <c r="X68" i="1" s="1"/>
  <c r="X69" i="1" s="1"/>
  <c r="Y64" i="1" l="1"/>
  <c r="Y63" i="1"/>
  <c r="Z64" i="1"/>
  <c r="Y59" i="1"/>
  <c r="Y58" i="1"/>
  <c r="Y34" i="1"/>
  <c r="Y68" i="1" s="1"/>
  <c r="Y69" i="1" s="1"/>
  <c r="Y61" i="1"/>
  <c r="Z65" i="1"/>
  <c r="X67" i="1"/>
  <c r="X66" i="1"/>
  <c r="Z56" i="1"/>
  <c r="Z8" i="1"/>
  <c r="Z63" i="1" s="1"/>
  <c r="Z55" i="1"/>
  <c r="Y66" i="1" l="1"/>
  <c r="Y67" i="1"/>
  <c r="Z58" i="1"/>
  <c r="Z34" i="1"/>
  <c r="Z68" i="1" s="1"/>
  <c r="Z69" i="1" s="1"/>
  <c r="Z61" i="1"/>
  <c r="Z59" i="1"/>
  <c r="Z62" i="1"/>
  <c r="Z66" i="1" l="1"/>
  <c r="Z67" i="1"/>
</calcChain>
</file>

<file path=xl/comments1.xml><?xml version="1.0" encoding="utf-8"?>
<comments xmlns="http://schemas.openxmlformats.org/spreadsheetml/2006/main">
  <authors>
    <author>hwicik</author>
    <author>Renata Forysiuk</author>
  </authors>
  <commentList>
    <comment ref="D16" authorId="0">
      <text>
        <r>
          <rPr>
            <b/>
            <sz val="9"/>
            <color indexed="81"/>
            <rFont val="Tahoma"/>
            <family val="2"/>
            <charset val="238"/>
          </rPr>
          <t>hwicik:</t>
        </r>
        <r>
          <rPr>
            <sz val="9"/>
            <color indexed="81"/>
            <rFont val="Tahoma"/>
            <family val="2"/>
            <charset val="238"/>
          </rPr>
          <t xml:space="preserve">
nie ujmować § 2680 rekompensaty utraconych dochodów (7510zł)</t>
        </r>
      </text>
    </comment>
    <comment ref="B72" authorId="0">
      <text>
        <r>
          <rPr>
            <b/>
            <sz val="9"/>
            <color indexed="81"/>
            <rFont val="Tahoma"/>
            <family val="2"/>
            <charset val="238"/>
          </rPr>
          <t>hwicik:</t>
        </r>
        <r>
          <rPr>
            <sz val="9"/>
            <color indexed="81"/>
            <rFont val="Tahoma"/>
            <family val="2"/>
            <charset val="238"/>
          </rPr>
          <t xml:space="preserve">
bieżące+majątkowe (75022+75023)</t>
        </r>
      </text>
    </comment>
    <comment ref="L76" authorId="1">
      <text>
        <r>
          <rPr>
            <b/>
            <sz val="9"/>
            <color indexed="81"/>
            <rFont val="Tahoma"/>
            <family val="2"/>
            <charset val="238"/>
          </rPr>
          <t>Renata Forysiuk:</t>
        </r>
        <r>
          <rPr>
            <sz val="9"/>
            <color indexed="81"/>
            <rFont val="Tahoma"/>
            <family val="2"/>
            <charset val="238"/>
          </rPr>
          <t xml:space="preserve">
bez basenu, ZS 12, ul. Wolności i ul. Świerklańskiej, sala gimnast. ZS 9, sp 1 dla PP7, monitoringu, placu A. Bożka
</t>
        </r>
      </text>
    </comment>
    <comment ref="M76" authorId="1">
      <text>
        <r>
          <rPr>
            <b/>
            <sz val="9"/>
            <color indexed="81"/>
            <rFont val="Tahoma"/>
            <family val="2"/>
            <charset val="238"/>
          </rPr>
          <t>Renata Forysiuk:</t>
        </r>
        <r>
          <rPr>
            <sz val="9"/>
            <color indexed="81"/>
            <rFont val="Tahoma"/>
            <family val="2"/>
            <charset val="238"/>
          </rPr>
          <t xml:space="preserve">
bez basenu, ZS 12, ul. Wolności i ul. Świerklańskiej, sala gimnast. ZS 9, sp 1 dla PP7, monitoringu, placu A. Bożka
</t>
        </r>
      </text>
    </comment>
    <comment ref="N76" authorId="1">
      <text>
        <r>
          <rPr>
            <b/>
            <sz val="9"/>
            <color indexed="81"/>
            <rFont val="Tahoma"/>
            <family val="2"/>
            <charset val="238"/>
          </rPr>
          <t>Renata Forysiuk:</t>
        </r>
        <r>
          <rPr>
            <sz val="9"/>
            <color indexed="81"/>
            <rFont val="Tahoma"/>
            <family val="2"/>
            <charset val="238"/>
          </rPr>
          <t xml:space="preserve">
kwota 9 259 661 zł to środki na zwrot dofinansowania od Marszałka z DGP</t>
        </r>
      </text>
    </comment>
    <comment ref="B77" authorId="0">
      <text>
        <r>
          <rPr>
            <b/>
            <sz val="9"/>
            <color indexed="81"/>
            <rFont val="Tahoma"/>
            <family val="2"/>
            <charset val="238"/>
          </rPr>
          <t>hwicik:</t>
        </r>
        <r>
          <rPr>
            <sz val="9"/>
            <color indexed="81"/>
            <rFont val="Tahoma"/>
            <family val="2"/>
            <charset val="238"/>
          </rPr>
          <t xml:space="preserve">
bez zakupów inwestycyjnych (interpretacja RIO ze szkolenia) 2.346.470
zł w 2015
r 
</t>
        </r>
      </text>
    </comment>
    <comment ref="B86" authorId="0">
      <text>
        <r>
          <rPr>
            <b/>
            <sz val="9"/>
            <color indexed="81"/>
            <rFont val="Tahoma"/>
            <family val="2"/>
            <charset val="238"/>
          </rPr>
          <t>hwicik:</t>
        </r>
        <r>
          <rPr>
            <sz val="9"/>
            <color indexed="81"/>
            <rFont val="Tahoma"/>
            <family val="2"/>
            <charset val="238"/>
          </rPr>
          <t xml:space="preserve">
należy dodać zad. Unijne nie będące PW
</t>
        </r>
      </text>
    </comment>
    <comment ref="B92" authorId="1">
      <text>
        <r>
          <rPr>
            <b/>
            <sz val="9"/>
            <color indexed="81"/>
            <rFont val="Tahoma"/>
            <family val="2"/>
            <charset val="238"/>
          </rPr>
          <t>Renata Forysiuk:</t>
        </r>
        <r>
          <rPr>
            <sz val="9"/>
            <color indexed="81"/>
            <rFont val="Tahoma"/>
            <family val="2"/>
            <charset val="238"/>
          </rPr>
          <t xml:space="preserve">
bieżące + majątkowe</t>
        </r>
      </text>
    </comment>
  </commentList>
</comments>
</file>

<file path=xl/comments2.xml><?xml version="1.0" encoding="utf-8"?>
<comments xmlns="http://schemas.openxmlformats.org/spreadsheetml/2006/main">
  <authors>
    <author>Renata Forysiuk</author>
  </authors>
  <commentList>
    <comment ref="G111" authorId="0">
      <text>
        <r>
          <rPr>
            <b/>
            <sz val="9"/>
            <color indexed="81"/>
            <rFont val="Tahoma"/>
            <family val="2"/>
            <charset val="238"/>
          </rPr>
          <t>Renata Forysiuk:</t>
        </r>
        <r>
          <rPr>
            <sz val="9"/>
            <color indexed="81"/>
            <rFont val="Tahoma"/>
            <family val="2"/>
            <charset val="238"/>
          </rPr>
          <t xml:space="preserve">
w tym 2 117 850 zł Mienie za wykup gruntów</t>
        </r>
      </text>
    </comment>
  </commentList>
</comments>
</file>

<file path=xl/sharedStrings.xml><?xml version="1.0" encoding="utf-8"?>
<sst xmlns="http://schemas.openxmlformats.org/spreadsheetml/2006/main" count="775" uniqueCount="587">
  <si>
    <t>Wyszczególnienie</t>
  </si>
  <si>
    <t>1.1.</t>
  </si>
  <si>
    <t>w tym:</t>
  </si>
  <si>
    <t>1.1.1.</t>
  </si>
  <si>
    <t>dochody z tytułu udziału we wpływach z podatku dochodowego od osób fizycznych</t>
  </si>
  <si>
    <t>1.1.2.</t>
  </si>
  <si>
    <t>dochody z tytułu udziału we wpływach z podatku dochodowego od osób prawnych</t>
  </si>
  <si>
    <t>1.1.3.</t>
  </si>
  <si>
    <t>1.1.3.1.</t>
  </si>
  <si>
    <t>z podatku od nieruchomości</t>
  </si>
  <si>
    <t>1.1.4.</t>
  </si>
  <si>
    <t>z subwencji ogólnej</t>
  </si>
  <si>
    <t>1.1.5.</t>
  </si>
  <si>
    <t>z tytułu dotacji i środków przeznaczonych na cele bieżące</t>
  </si>
  <si>
    <t>1.2.</t>
  </si>
  <si>
    <t>1.2.1.</t>
  </si>
  <si>
    <t>1.2.2</t>
  </si>
  <si>
    <t>z tytułu dotacji oraz środków przeznaczonych na inwestycje</t>
  </si>
  <si>
    <t>2.1.</t>
  </si>
  <si>
    <t>2.1.1.</t>
  </si>
  <si>
    <t>2.1.1.1.</t>
  </si>
  <si>
    <t>2.1.2.</t>
  </si>
  <si>
    <t>2.1.3.</t>
  </si>
  <si>
    <t>2.1.3.1</t>
  </si>
  <si>
    <t>2.2.</t>
  </si>
  <si>
    <t>4.1.</t>
  </si>
  <si>
    <t>4.1.1.</t>
  </si>
  <si>
    <t>4.2.</t>
  </si>
  <si>
    <t>4.2.1.</t>
  </si>
  <si>
    <t>4.3.</t>
  </si>
  <si>
    <t>4.3.1.</t>
  </si>
  <si>
    <t>4.4.</t>
  </si>
  <si>
    <t>4.4.1.</t>
  </si>
  <si>
    <t>5.1.1.</t>
  </si>
  <si>
    <t>5.1.1.1.</t>
  </si>
  <si>
    <t>7. Kwota zobowiązań wynikających z przejęcia przez jednostkę samorządu terytorialnego zobowiązań po likwidowanych i przekształcanych jednostkach zaliczanych do sektora finansów publicznych</t>
  </si>
  <si>
    <t>8. Relacja zrównoważenia wydatków bieżących, o której mowa w art. 242 ustawy</t>
  </si>
  <si>
    <t>9.3.</t>
  </si>
  <si>
    <t>9.4.</t>
  </si>
  <si>
    <t>9.5.</t>
  </si>
  <si>
    <t>9.6.</t>
  </si>
  <si>
    <t>9.7.</t>
  </si>
  <si>
    <t>9.7.1.</t>
  </si>
  <si>
    <t>11.1.</t>
  </si>
  <si>
    <t>Wydatki bieżące na wynagrodzenia i składki od nich naliczane</t>
  </si>
  <si>
    <t>11.2</t>
  </si>
  <si>
    <t>11.3.</t>
  </si>
  <si>
    <t>11.3.1.</t>
  </si>
  <si>
    <t>bieżące</t>
  </si>
  <si>
    <t>11.3.2.</t>
  </si>
  <si>
    <t>majątkowe</t>
  </si>
  <si>
    <t>11.4.</t>
  </si>
  <si>
    <t>11.5.</t>
  </si>
  <si>
    <t>11.6.</t>
  </si>
  <si>
    <t>Wydatki majątkowe w formie dotacji</t>
  </si>
  <si>
    <t>12.</t>
  </si>
  <si>
    <t>12.1.</t>
  </si>
  <si>
    <t>Dochody bieżące na programy, projekty lub zadania finansowane z udziałem środków, o których mowa w art. 5 ust. 1 pkt 2 i 3 ustawy</t>
  </si>
  <si>
    <t>12.1.1</t>
  </si>
  <si>
    <t>- w tym środki określone w art. 5 ust. 1 pkt 2 ustawy</t>
  </si>
  <si>
    <t>12.1.1.1</t>
  </si>
  <si>
    <t>- w tym środki określone w art. 5 ust. 1 pkt 2 ustawy wynikające wyłącznie z zawartych umów na realizację programu, projektu lub zadania</t>
  </si>
  <si>
    <t>12.2.</t>
  </si>
  <si>
    <t>Dochody majątkowe na programy, projekty lub zadania finansowane z udziałem środków, o których mowa w art. 5 ust. 1 pkt 2 i 3 ustawy</t>
  </si>
  <si>
    <t>12.2.1.</t>
  </si>
  <si>
    <t>12.2.1.1</t>
  </si>
  <si>
    <t>- w tym środki określone w art. 5 ust. 1 pkt 2 ustawy wynikające wyłącznie z zawartych umów na realizacje programu, projektu lub zadania</t>
  </si>
  <si>
    <t>12.3</t>
  </si>
  <si>
    <t>Wydatki bieżące na programy, projekty lub zadania finansowane z udziałem środków, o których mowa w art. 5 ust. 1 pkt 2 i 3 ustawy</t>
  </si>
  <si>
    <t>12.3.1.</t>
  </si>
  <si>
    <t>- w tym finansowane środkami określonymi w art. 5 ust. 1 pkt 2 ustawy</t>
  </si>
  <si>
    <t>12.3.2</t>
  </si>
  <si>
    <t>Wydatki bieżące na realizację programu, projektu lub zadania wynikające wyłącznie z zawartych umów z podmiotem dysponującym środkami, o których mowa w art. 5 ust. 1 pkt 2 ustawy</t>
  </si>
  <si>
    <t>12.4.</t>
  </si>
  <si>
    <t>Wydatki majątkowe na programy, projekty lub zadania finansowane z udziałem środków, o których mowa w art. 5 ust. 1 pkt 2 i 3 ustawy</t>
  </si>
  <si>
    <t>12.4.1</t>
  </si>
  <si>
    <t>12.4.2.</t>
  </si>
  <si>
    <t>Wydatki majątkowe na realizację programu, projektu lub zadania wynikające wyłącznie z zawartych umów z podmiotem dysponującym środkami, o których mowa w art. 5 ust. 1 pkt 2 ustawy</t>
  </si>
  <si>
    <t>13. Kwoty dotyczące przejęcia i spłaty zobowiązań po samodzielnych publicznych zakładach opieki zdrowotnej oraz pokrycia ujemnego wyniku</t>
  </si>
  <si>
    <t>13.1.</t>
  </si>
  <si>
    <t>Kwota zobowiązań wynikających z przejęcia przez jednostkę samorządu terytorialnego zobowiązań po likwidowanych i przekształcanych samodzielnych zakładach opieki zdrowotnej</t>
  </si>
  <si>
    <t>13.2.</t>
  </si>
  <si>
    <t>13.3.</t>
  </si>
  <si>
    <t>Wysokość zobowiązań podlegających umorzeniu, o którym mowa w art. 190 ustawy o działalności leczniczej</t>
  </si>
  <si>
    <t>13.4.</t>
  </si>
  <si>
    <t>Wydatki na spłatę przejętych zobowiązań samodzielnego publicznego zakładu opieki zdrowotnej przekształconego na zasadach określonych w przepisach o działalności leczniczej</t>
  </si>
  <si>
    <t>13.5.</t>
  </si>
  <si>
    <t>Wydatki na spłatę przejętych zobowiązań samodzielnego publicznego zakładu opieki zdrowotnej likwidowanego na zasadach określonych w przepisach o działalności leczniczej</t>
  </si>
  <si>
    <t>13.6.</t>
  </si>
  <si>
    <t>Wydatki na spłatę zobowiązań samodzielnego publicznego zakładu opieki zdrowotnej przejętych do końca 2011 r. na podstawie przepisów o zakładach opieki zdrowotnej</t>
  </si>
  <si>
    <t>13.7.</t>
  </si>
  <si>
    <t>Wydatki bieżące na pokrycie ujemnego wyniku finansowego samodzielnego publicznego zakładu opieki zdrowotnej</t>
  </si>
  <si>
    <t>14. Dane uzupełniające o długu i jego spłacie</t>
  </si>
  <si>
    <t>14.1.</t>
  </si>
  <si>
    <t>14.2.</t>
  </si>
  <si>
    <t>14.3.</t>
  </si>
  <si>
    <t>14.3.1.</t>
  </si>
  <si>
    <t>14.3.2.</t>
  </si>
  <si>
    <t>14.3.3.</t>
  </si>
  <si>
    <t>14.4.</t>
  </si>
  <si>
    <t>8.1. Różnica między dochodami bieżącymi a wydatkami bieżącymi</t>
  </si>
  <si>
    <t>11.          Informacje uzupełniające o wybranych rodzajach wydatków budżetowych</t>
  </si>
  <si>
    <r>
      <t>10.1</t>
    </r>
    <r>
      <rPr>
        <b/>
        <sz val="10"/>
        <color rgb="FF000000"/>
        <rFont val="Arial"/>
        <family val="2"/>
        <charset val="238"/>
      </rPr>
      <t xml:space="preserve">.        </t>
    </r>
    <r>
      <rPr>
        <sz val="10"/>
        <color rgb="FF000000"/>
        <rFont val="Arial"/>
        <family val="2"/>
        <charset val="238"/>
      </rPr>
      <t>Spłaty kredytów, pożyczek i wykup papierów wartościowych</t>
    </r>
  </si>
  <si>
    <t>Wykonanie 2010 roku</t>
  </si>
  <si>
    <t>Wykonanie 2011 roku</t>
  </si>
  <si>
    <t>Plan 3 kwartałów 2012 roku</t>
  </si>
  <si>
    <t>5.2.          Inne rozchody niezwiązane ze spłatą długu</t>
  </si>
  <si>
    <t>9.            Wskaźnik spłaty zobowiązań</t>
  </si>
  <si>
    <t>5.1</t>
  </si>
  <si>
    <t>Obliczenie wskaźnika zg z ustawą o finansach publicznych z 27.08.2009 r,</t>
  </si>
  <si>
    <t>wykonanie 2012 roku</t>
  </si>
  <si>
    <t>( w złotych)</t>
  </si>
  <si>
    <t>Załącznik Nr 1</t>
  </si>
  <si>
    <t>9.6.1</t>
  </si>
  <si>
    <t>Finansowanie programów, projektów lub zadań realizowanych z udziałem środków, o których mowa w art. 5 ust. 1 pkt 2 i 3 ustawy</t>
  </si>
  <si>
    <t xml:space="preserve">Wieloletnia Prognoza Finansowa </t>
  </si>
  <si>
    <t>Plan III kw. 2013 roku</t>
  </si>
  <si>
    <t>Wykonanie 2013 roku</t>
  </si>
  <si>
    <t xml:space="preserve">w tym: gwarancje i poręczenia podlegające wyłączeniu z limitu spłaty zobowiązań, o którym mowa w art. 243  ustawy </t>
  </si>
  <si>
    <t>2.1.3.1.1.</t>
  </si>
  <si>
    <t>2.1.3.1.2.</t>
  </si>
  <si>
    <t>z tego:</t>
  </si>
  <si>
    <t>5.1.1.2.</t>
  </si>
  <si>
    <t>5.1.1.3.</t>
  </si>
  <si>
    <r>
      <t>9.1.</t>
    </r>
    <r>
      <rPr>
        <b/>
        <i/>
        <sz val="10"/>
        <color rgb="FF000000"/>
        <rFont val="Arial"/>
        <family val="2"/>
        <charset val="238"/>
      </rPr>
      <t xml:space="preserve">  </t>
    </r>
  </si>
  <si>
    <t>9.2.</t>
  </si>
  <si>
    <t>Kwota zobowiązań zwiazku współtworzonego przez jednostkę samorządu terytorialnego przypadających do spłaty w danym roku budżetowym, podlegająca doliczeniu zgodnie z art. 244 ustawy</t>
  </si>
  <si>
    <t>9.6.1.</t>
  </si>
  <si>
    <t>Wydatki objęte limitem art. 226 ust. 3 pkt 4 ustawy</t>
  </si>
  <si>
    <t>12.5.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</si>
  <si>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</si>
  <si>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</si>
  <si>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-w tym w związku z już zawartą umową na realizację programu, projektu lub zadania</t>
  </si>
  <si>
    <t>12.6.</t>
  </si>
  <si>
    <t>12.6.1</t>
  </si>
  <si>
    <t>12.7.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</si>
  <si>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 </t>
  </si>
  <si>
    <t>12.7.1</t>
  </si>
  <si>
    <t>Przychody z tytułu kredytów, pożyczek, emisji papierów wartościowych powstające w związku zawartą po dniu 1 stycznia 2013 r.  umową na realizację programu, projektu lub zadania finansowanego w co najmniej 60% środkami, o których mowa w art. 5 ust. 1 pkt 2 ustawy</t>
  </si>
  <si>
    <t>12.8.</t>
  </si>
  <si>
    <t>12.8.1</t>
  </si>
  <si>
    <t>15. Dane dotyczące emitowanych obligacji przychodowych</t>
  </si>
  <si>
    <t>15.1.</t>
  </si>
  <si>
    <t>Środki z przedsięwzięcia gromadzone na rachunku bankowym, w tym:</t>
  </si>
  <si>
    <t>15.1.1.</t>
  </si>
  <si>
    <t>15.2.</t>
  </si>
  <si>
    <t>podatki i opłaty</t>
  </si>
  <si>
    <t xml:space="preserve">1.            Dochody ogółem </t>
  </si>
  <si>
    <t xml:space="preserve">Dochody bieżące </t>
  </si>
  <si>
    <t xml:space="preserve">Dochody majątkowe </t>
  </si>
  <si>
    <t xml:space="preserve">ze sprzedaży majątku </t>
  </si>
  <si>
    <t xml:space="preserve">2.             Wydatki ogółem </t>
  </si>
  <si>
    <t xml:space="preserve">Wydatki bieżące </t>
  </si>
  <si>
    <t xml:space="preserve">z tytułu poręczeń i gwarancji </t>
  </si>
  <si>
    <t xml:space="preserve">wydatki na obsługę długu </t>
  </si>
  <si>
    <t xml:space="preserve">w tym odsetki i dyskonto określone w art. 243 ust. 1 ustawy </t>
  </si>
  <si>
    <t>odsetki i dyskonto podlegające wyłączeniu z limitu spłaty zobowiązań, o którym mowa w art. 243 ustawy,  z tytułu zobowiązań zaciągniętych na wkład krajowy</t>
  </si>
  <si>
    <t xml:space="preserve">Wydatki majątkowe </t>
  </si>
  <si>
    <r>
      <t xml:space="preserve">3. </t>
    </r>
    <r>
      <rPr>
        <b/>
        <sz val="10"/>
        <color rgb="FFFF0000"/>
        <rFont val="Arial"/>
        <family val="2"/>
        <charset val="238"/>
      </rPr>
      <t xml:space="preserve">   </t>
    </r>
    <r>
      <rPr>
        <b/>
        <sz val="10"/>
        <rFont val="Arial"/>
        <family val="2"/>
        <charset val="238"/>
      </rPr>
      <t xml:space="preserve">        Wynik budżetu </t>
    </r>
  </si>
  <si>
    <t xml:space="preserve">4.            Przychody budżetu </t>
  </si>
  <si>
    <t xml:space="preserve">Nadwyżka budżetowa z lat ubiegłych </t>
  </si>
  <si>
    <t xml:space="preserve">w tym na pokrycie deficytu budżetu </t>
  </si>
  <si>
    <t xml:space="preserve">Wolne środki, o których mowa w art. 217 ust.2 pkt 6 ustawy </t>
  </si>
  <si>
    <t xml:space="preserve">Kredyty, pożyczki, emisja papierów wartościowych </t>
  </si>
  <si>
    <t xml:space="preserve">5.           Rozchody budżetu </t>
  </si>
  <si>
    <r>
      <t xml:space="preserve"> Spłaty rat kapitałowych kredytów i pożyczek oraz wykup papierów wartościowych</t>
    </r>
    <r>
      <rPr>
        <vertAlign val="superscript"/>
        <sz val="10"/>
        <color rgb="FF000000"/>
        <rFont val="Arial"/>
        <family val="2"/>
        <charset val="238"/>
      </rPr>
      <t xml:space="preserve"> </t>
    </r>
  </si>
  <si>
    <t xml:space="preserve">w tym łączna kwota przypadających na dany rok kwot ustawowych wyłączeń z limitu spłaty zobowiązań, o którym mowa  w art. 243 ustawy </t>
  </si>
  <si>
    <t xml:space="preserve">Inne przychody niezwiązane z zaciągnięciem długu 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</si>
  <si>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</t>
  </si>
  <si>
    <t>kwota przypadających na dany rok kwot ustawowych wyłączeń określonych w art. 243 ust. 3 ustawy</t>
  </si>
  <si>
    <t>kwota przypadających na dany rok kwot ustawowych wyłączeń określonych w art. 243 ust. 3a ustawy</t>
  </si>
  <si>
    <t xml:space="preserve">kwota przypadających na dany rok kwot ustawowych wyłączeń innych niż określonych w art. 243 ust. 3 ustawy </t>
  </si>
  <si>
    <t xml:space="preserve">6.            Kwota długu </t>
  </si>
  <si>
    <r>
      <t>8.2. Różnica między dochodami bieżącymi, skorygowanymi o środki</t>
    </r>
    <r>
      <rPr>
        <sz val="10"/>
        <color rgb="FF000000"/>
        <rFont val="Arial"/>
        <family val="2"/>
        <charset val="238"/>
      </rPr>
      <t xml:space="preserve">  a wydatkami bieżącymi, pomniejszonymi</t>
    </r>
    <r>
      <rPr>
        <sz val="10"/>
        <color rgb="FF000000"/>
        <rFont val="Arial"/>
        <family val="2"/>
        <charset val="238"/>
      </rPr>
      <t xml:space="preserve"> o wydatki </t>
    </r>
  </si>
  <si>
    <t>Wskaźnik planowanej łącznej kwoty spłaty zobowiązań, o której mowa w art. 243 ust. 1 ustawy do dochodów , bez uwzględnienia zobowiązań związku współtworzonego przez jednostkę samorządu terytorialnego i bez uwzględnienia ustawowych wyłączeń przypadających na dany rok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</si>
  <si>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</t>
  </si>
  <si>
    <t xml:space="preserve">Wskaźnik planowanej łącznej kwoty spłaty zobowiązań, o której mowa w art. 243 ust. 1 ustawy do dochodów , po uwzględnieniu zobowiązań związku współtworzonego przez jednostkę samorządu terytorialnego oraz po uwzględnieniu ustawowych wyłączeń przypadających na dany rok </t>
  </si>
  <si>
    <t>Wskaźnik dochodów bieżących powiększonych o dochody ze sprzedaży majątku oraz pomniejszonych o wydatki bieżące, do dochodów budżetu, ustalony dla danego roku (wskaźnik jednoroczny)</t>
  </si>
  <si>
    <t xml:space="preserve">Dopuszczalny wskaźnik spłaty zobowiązań określony w art. 243 ustawy, po uwzględnieniu ustawowych wyłączeń obliczony w oparciu o wykonanie roku poprzedzającego pierwszy rok prognozy (wskaźnik ustalony w oparciu o średnią arytmetyczną z 3 poprzednich lat) </t>
  </si>
  <si>
    <t xml:space="preserve">Informacja o spełnieniu wskaźnika spłaty zobowiązań określonego w art. 243 ustawy, po uwzględnieniu zobowiązań związku współtworzonego przez jednostkę samorządu terytorialnego oraz po uwzględnieniu ustawowych, obliczonego w oparciu o plan 3 kwartałów roku poprzedzającego rok budżetowy </t>
  </si>
  <si>
    <t xml:space="preserve">Informacja o spełnieniu wskaźnika spłaty zobowiązań określonego w art. 243 ustawy, po uwzględnieniu zobowiązań związku współtworzonego przez jednostkę samorządu terytorialnego oraz po uwzględnieniu ustawowych wyłączeń obliczonego w oparciu o wykonanie roku poprzedzającego rok budżetowy </t>
  </si>
  <si>
    <r>
      <t>Dopuszczalny wskaźnik spłaty zobowiązań określony w art. 243 ustawy, po uwzględnieniu ustawowych wyłączeń</t>
    </r>
    <r>
      <rPr>
        <sz val="10"/>
        <color rgb="FF000000"/>
        <rFont val="Arial"/>
        <family val="2"/>
        <charset val="238"/>
      </rPr>
      <t xml:space="preserve"> obliczony w oparciu o plan 3 kwartału roku poprzedzającego pierwszy rok prognozy (wskaźnik ustalony w oparciu o średnią arytmetyczną z 3 poprzednich lat)</t>
    </r>
  </si>
  <si>
    <r>
      <t>10.           Przeznaczenie prognozowanej nadwyżki budżetowej</t>
    </r>
    <r>
      <rPr>
        <b/>
        <sz val="10"/>
        <color rgb="FF000000"/>
        <rFont val="Arial"/>
        <family val="2"/>
        <charset val="238"/>
      </rPr>
      <t>, w tym na:</t>
    </r>
  </si>
  <si>
    <t>Wydatki związane z funkcjonowaniem organów jednostki samorządu terytorialnego</t>
  </si>
  <si>
    <t xml:space="preserve">Wydatki inwestycyjne kontynuowane </t>
  </si>
  <si>
    <t>Nowe wydatki inwestycyjne</t>
  </si>
  <si>
    <t xml:space="preserve">Wydatki na wkład krajowy w związku z zawartą po dniu 1 stycznia 2013 r. umową na realizację programu, projektu lub zadania finansowanego w co najmniej 60%  środkami, o których mowa w art. 5 ust. 1 pkt 2 ustawy </t>
  </si>
  <si>
    <t xml:space="preserve">Spłaty rat kapitałowych oraz wykup papierów wartościowych, o których mowa w poz. 5.1., wynikające wyłącznie z tytułu zobowiązań już zaciągniętych </t>
  </si>
  <si>
    <t xml:space="preserve">Kwota długu, którego planowana spłata dokona się z wydatków budżetu </t>
  </si>
  <si>
    <r>
      <t xml:space="preserve">Wydatki zmniejszające dług </t>
    </r>
    <r>
      <rPr>
        <sz val="10"/>
        <color rgb="FF000000"/>
        <rFont val="Arial"/>
        <family val="2"/>
        <charset val="238"/>
      </rPr>
      <t>, w tym:</t>
    </r>
  </si>
  <si>
    <t>spłata zobowiązań wymagalnych z lat poprzednich, innych niż w poz. 14.3.3.</t>
  </si>
  <si>
    <t xml:space="preserve">związane z umowami zaliczanymi do tytułów dłużnych wliczanych do państwowego długu publicznego </t>
  </si>
  <si>
    <t>wypłaty z tytułu wymagalnych poręczeń i gwarancji</t>
  </si>
  <si>
    <t xml:space="preserve">Wynik operacji niekasowych wpływających na kwotę długu (min. umorzenia, różnice kursowe) </t>
  </si>
  <si>
    <t>środki na zaspokojenie roszczeń obligatariuszy</t>
  </si>
  <si>
    <t>Wydatki bieżące z tytułu świadczenia emitenta należnego obligatariuszom, nieuwzględniane w limicie spłaty zobowiązań, o którym mowa w art. 243 ustawy</t>
  </si>
  <si>
    <t xml:space="preserve">odsetki i dyskonto podlegające wyłączeniu z limitu spłaty zobowiązań, o którym mowa w art. 243 ustawy, w terminie nie dłuższym niż 90 dni po zakończeniu programu,  projektu lub zadania i otrzymaniu refundacji z tych środków (bez odsetek i dyskonta od zobowiązań na wkład krajowy) </t>
  </si>
  <si>
    <t>16. Stopnie niezachowania relacji określonych w art. 242-244 ustawy w przypadku okreslonym w ……….ustawy</t>
  </si>
  <si>
    <t>16.1.</t>
  </si>
  <si>
    <t>Stopień niezachowania relacji zrównoważenia wydatków bieżących, o której mowa w poz. 8.2</t>
  </si>
  <si>
    <t>16.2.</t>
  </si>
  <si>
    <t>Stopień niezachowania wskaźnika spłaty zobowiązań, o którym mowa w poz. 9.7</t>
  </si>
  <si>
    <t>16.3.</t>
  </si>
  <si>
    <t>Stopień niezachowania wskaźnika spłaty zobowiązań, o którym mowa w poz. 9.7.1</t>
  </si>
  <si>
    <t>Dochody budżetowe z tytułu dotacji celowej z budżetu państwa, o której mowa w art. 196 ustawy z dnia 15 kwietnia 2011 r. o działalności leczniczej (Dz.U. z 2013 r. poz. 217, z późn. zm.)</t>
  </si>
  <si>
    <t>Plan III kw. 2014 roku</t>
  </si>
  <si>
    <t>Wykonanie 2014 roku</t>
  </si>
  <si>
    <t>2018 rok</t>
  </si>
  <si>
    <t xml:space="preserve"> 2019 rok</t>
  </si>
  <si>
    <t xml:space="preserve"> 2020 rok</t>
  </si>
  <si>
    <t xml:space="preserve"> 2021 rok</t>
  </si>
  <si>
    <t xml:space="preserve"> 2022 rok</t>
  </si>
  <si>
    <t xml:space="preserve"> 2023 rok</t>
  </si>
  <si>
    <t xml:space="preserve"> 2024 rok</t>
  </si>
  <si>
    <t>Plan III kw. 2015 roku</t>
  </si>
  <si>
    <t>Wykonanie 2015 roku</t>
  </si>
  <si>
    <t>Wykonanie 2016 roku</t>
  </si>
  <si>
    <t>Plan III kw. 2016 roku</t>
  </si>
  <si>
    <t>Załącznik Nr 2</t>
  </si>
  <si>
    <t>Rady Miasta Jastrzębie-Zdrój</t>
  </si>
  <si>
    <t>Lp</t>
  </si>
  <si>
    <t>Nazwa i cel</t>
  </si>
  <si>
    <t>Limit zobowiązań</t>
  </si>
  <si>
    <t>Łączne nakłady  finansowe</t>
  </si>
  <si>
    <t>wydatki poniesione w latach poprzednich</t>
  </si>
  <si>
    <t>od</t>
  </si>
  <si>
    <t>do</t>
  </si>
  <si>
    <t xml:space="preserve">2018 rok </t>
  </si>
  <si>
    <t xml:space="preserve">2019 rok </t>
  </si>
  <si>
    <t xml:space="preserve">2020 rok </t>
  </si>
  <si>
    <t xml:space="preserve">2021 rok </t>
  </si>
  <si>
    <t>1.</t>
  </si>
  <si>
    <r>
      <t xml:space="preserve">Wydatki na przedsięwzięcia - ogółem (1.1.+1.2.+1.3) </t>
    </r>
    <r>
      <rPr>
        <b/>
        <i/>
        <sz val="10"/>
        <color rgb="FF000000"/>
        <rFont val="Arial"/>
        <family val="2"/>
        <charset val="238"/>
      </rPr>
      <t xml:space="preserve">z </t>
    </r>
    <r>
      <rPr>
        <b/>
        <sz val="10"/>
        <color rgb="FF000000"/>
        <rFont val="Arial"/>
        <family val="2"/>
        <charset val="238"/>
      </rPr>
      <t>tego:</t>
    </r>
  </si>
  <si>
    <t>l.a</t>
  </si>
  <si>
    <t>■ wydatki bieżące</t>
  </si>
  <si>
    <t>l.b</t>
  </si>
  <si>
    <t>■ wydatki majątkowe</t>
  </si>
  <si>
    <t>Wydatki na programy, projekty lub zadania związane z programami realizowanymi z udziałem środków, o których mowa w art. 5 ust. 1 pkt 2 i 3 ustawy z dnia 27 sierpnia 2009. r. o finansach publicznych (Dz. U. z 2013 r., poz. 885, z późn. zm.) z tego:</t>
  </si>
  <si>
    <t>Urząd Miasta Jastrzębie-Zdrój</t>
  </si>
  <si>
    <t>1.1.1.6</t>
  </si>
  <si>
    <t>Mobilni na europejskim rynku  pracy</t>
  </si>
  <si>
    <t>Zespół Szkół Zawodowych</t>
  </si>
  <si>
    <t>podniesienie zdobywanych przez uczniów ZSZ kompetencji zawodowych poprzez odbycie 14 dniowych  staży zagranicznych,  a tym samym zwiększenie atrakcyjności kształcenia zawodowego szkoły</t>
  </si>
  <si>
    <t>1.1.1.7</t>
  </si>
  <si>
    <t>Eurotrading - młodzi przedsiębiorcy w podróży</t>
  </si>
  <si>
    <t>Szkoła Podstawowa nr 1</t>
  </si>
  <si>
    <t>wprowadzenie do procesu nauczania w szkole podstawowej  treści dotyczących ekonomii i doradztwa zawodowego</t>
  </si>
  <si>
    <t>1.1.1.8</t>
  </si>
  <si>
    <t>Średniowieczne szlaki i ich symbolika</t>
  </si>
  <si>
    <t>Zespół Szkół Nr 5</t>
  </si>
  <si>
    <t>przybliżenie uczniom czasów średniowiecza  i analiza bieżących problemów  na świecie w odniesieniu do nich za pomocą innowacyjnych metod nauczania</t>
  </si>
  <si>
    <t>1.1.1.9</t>
  </si>
  <si>
    <t>Centrum Kształcenia Praktycznego</t>
  </si>
  <si>
    <t>1.1.1.12</t>
  </si>
  <si>
    <t>Staże zagraniczne jako innowacyjny sposób kształcenia mechaników maszyn w Zespole Szkół Nr 5 im. Jana Pawła II w Jastrzębiu-Zdroju</t>
  </si>
  <si>
    <t xml:space="preserve">podniesienie zdobywanych przez uczniów ZS5 kompetencji zawodowych poprzez odbycie 14 dniowych  staży zagranicznych  w zakresie kształcenia w zawodzie technik mechanik </t>
  </si>
  <si>
    <t>1.1.1.13</t>
  </si>
  <si>
    <t>Rozwój kadry Zespołu Szkół Zawodowych w Jastrzębiu-Zdroju gwarancją sukcesów uczniów</t>
  </si>
  <si>
    <t>wyjazdy na kursy zagraniczne pedagogów zatrudnionych w ZSZ  mające na celu zwiększenie ich kompetencji zawodowych co równocześnie zaskutkuje podniesieniem atrakcyjności kształcenia zawodowego szkoły</t>
  </si>
  <si>
    <t>Ośrodek Pomocy Społecznej</t>
  </si>
  <si>
    <t>1.1.1.16</t>
  </si>
  <si>
    <t>Ośrodek Wsparcia Ekonomii Społecznej Subregionu Zachodniego</t>
  </si>
  <si>
    <t>podniesienie potencjału sektora ekonomii społecznej oraz zwiększenie szans na zatrudnienie osób wykluczonych i zagrożonych wykluczeniem społecznym z terenu subregionu zachodniego woj. śląskiego</t>
  </si>
  <si>
    <t>1.1.1.17</t>
  </si>
  <si>
    <t>V Polsko-czeskie spotkania branżowe</t>
  </si>
  <si>
    <t>stymulowanie i aranżowanie współpracy i wzajemnych relacji między samorządami  Jastrzębia-Zdroju, Karviny i Hawierzowa wraz z instytucjami z różnych obszarów życia społecznego</t>
  </si>
  <si>
    <t>Zespół Szkół Nr 6</t>
  </si>
  <si>
    <t>1.1.1.22</t>
  </si>
  <si>
    <t>Zintensyfikowanie współpracy transgranicznej straży miejskich w Karwinie i Jastrzębiu-Zdroju</t>
  </si>
  <si>
    <t>nawiązanie współpracy straży miejskich i wspólne rozwiązywanie problemów pojawiających się po obu stronach granicy</t>
  </si>
  <si>
    <t>Rozwój usług społecznych na terenie Miasta Jastrzębie-Zdrój</t>
  </si>
  <si>
    <t>wzrost dostępności i jakości usług społecznych zapobiegających ubóstwu i wykluczeniu społecznemu na terenie Miasta Jastrzębie-Zdrój</t>
  </si>
  <si>
    <t>Praktyka i praca - Aktywizacja zawodowa osób bezrobotnych w wieku 30+</t>
  </si>
  <si>
    <t>Powiatowy Urząd Pracy</t>
  </si>
  <si>
    <t>aktywizacja zawodowa 108 osób w wieku 30 + zarejestrowanych w PUP w Jastrzębiu-Zdroju</t>
  </si>
  <si>
    <t>Europejskie doświadczenie nauczycieli szansą każdego ucznia</t>
  </si>
  <si>
    <t>Szkoła Podstawowa nr 5</t>
  </si>
  <si>
    <t>doskonalenie warsztatu pracy nauczycieli w oparciu o doświadczenie europejskich systemów edukacyjnych oraz poszukiwanie innowacyjnych metod i form pracy z uwzględnieniem specjalnych potrzeb edukacyjnych uczniów</t>
  </si>
  <si>
    <t>1.1.2</t>
  </si>
  <si>
    <t>1.1.2.1</t>
  </si>
  <si>
    <t>Budowa infrastruktury wychowania przedszkolnego dla  PP nr 10 przy ZS nr 8 w Jastrzębiu-Zdroju</t>
  </si>
  <si>
    <t>budowa nowego budynku Przedszkola Publicznego nr 10 przy Zespole Szkół nr 8 co pozwoli na przeniesienie przedszkola ze starego budynku który nieodpowiada wymogom technicznym do nowoczesnej placówki, zwiększeniu ulegnie również liczba miejsc w przedszkolu z 78 do 125, poprawie ulegnie  oferta edukacyjna placówki i warunki w jakich prowadzone będą zajęcia</t>
  </si>
  <si>
    <t>1.1.2.5</t>
  </si>
  <si>
    <t>Żelazny szlak rowerowy</t>
  </si>
  <si>
    <t>zwiększenie ilości scieżek rowerowych</t>
  </si>
  <si>
    <t>1.1.2.8</t>
  </si>
  <si>
    <t>Przebudowa i rozbudowa budynku Zespołu Szkół nr 8 w  Jastrzębiu - Zdroju</t>
  </si>
  <si>
    <t>zwiekszenie efektywności energetycznej  budynku oraz poszerzenie bazy rekreacyjno - sportowej</t>
  </si>
  <si>
    <t>1.1.2.9</t>
  </si>
  <si>
    <t>Postindustrialne dziedzictwo pogranicza</t>
  </si>
  <si>
    <t>popularyzacja, rozwój i promocja dziedzictwa postindustrialnego regionu Górnego Śląska</t>
  </si>
  <si>
    <t>Przebudowa budynku przy ul. Gagarina 116 w Jastrzębiu - Zdroju na potrzeby budownictwa socjalnego</t>
  </si>
  <si>
    <t>Miejski Zarząd Nieruchomości</t>
  </si>
  <si>
    <t>pozyskanie nowych lokali socjalnych poprzez adaptację i nadbudowę budynku</t>
  </si>
  <si>
    <t xml:space="preserve">Wydatki na programy, projekty lub zadania związane z umowami partnerstwa publiczno-prywatnego </t>
  </si>
  <si>
    <t xml:space="preserve"> </t>
  </si>
  <si>
    <t>1.2.2.</t>
  </si>
  <si>
    <t>1.3.</t>
  </si>
  <si>
    <r>
      <t xml:space="preserve">Wydatki na programy, projekty lub zadania pozostałe (inne niż wymienione w pkt 1.1 i 1.2) , </t>
    </r>
    <r>
      <rPr>
        <b/>
        <i/>
        <sz val="10"/>
        <color rgb="FF000066"/>
        <rFont val="Arial"/>
        <family val="2"/>
        <charset val="238"/>
      </rPr>
      <t xml:space="preserve">z </t>
    </r>
    <r>
      <rPr>
        <b/>
        <sz val="10"/>
        <color rgb="FF000066"/>
        <rFont val="Arial"/>
        <family val="2"/>
        <charset val="238"/>
      </rPr>
      <t>tego:</t>
    </r>
  </si>
  <si>
    <t>1.3.1.</t>
  </si>
  <si>
    <t>1.3.2</t>
  </si>
  <si>
    <t>1.3.2.1</t>
  </si>
  <si>
    <t>Budowa oświetlenia ulic</t>
  </si>
  <si>
    <t>budowa oświetlenia ulic, placów i dróg dla zapewnienia bezpieczeństwa ruchu pieszego i kołowego w Mieście</t>
  </si>
  <si>
    <t>1.3.2.2</t>
  </si>
  <si>
    <t>Przebudowa ul. Witczaka</t>
  </si>
  <si>
    <t xml:space="preserve">poprawa układu komunikacyjnego </t>
  </si>
  <si>
    <t>1.3.2.3</t>
  </si>
  <si>
    <t>Cmentarze</t>
  </si>
  <si>
    <t>Jastrzębski Zakład Komunalny</t>
  </si>
  <si>
    <t>rozbudowa cmentarzy komunalnych w celu zapewnienia miejsc pochówku na terenie Miasta</t>
  </si>
  <si>
    <t>1.3.2.4</t>
  </si>
  <si>
    <t>Budowa obiektu ul. Pszczyńska 140</t>
  </si>
  <si>
    <t>rozbiórka istniejącego obiektu Ochotniczej Straży Pożarnej oraz budowa nowego budynku OSP z uwzględnieniem możliwości włączenia jednostki do Krajowego Systemu Ratowniczo-Gaśniczego wraz z zagospodarowaniem terenu</t>
  </si>
  <si>
    <t>1.3.2.5</t>
  </si>
  <si>
    <t>Przebudowa  budynku ul. Szkolna 1</t>
  </si>
  <si>
    <t>przebudowa  budynku dla potrzeb Środowiskowego Domu Samopomocy</t>
  </si>
  <si>
    <t>1.3.2.6</t>
  </si>
  <si>
    <t>Przebudowa wraz z termomodernizacją budynku  ul. Szkolna 5 w Jastrzębiu - Zdroju</t>
  </si>
  <si>
    <t>adaptacja obiektu w zakresie przebudowy budynku użytkowego oraz infrastruktury towarzyszącej i zagospodarowania terenu w zakresie umożliwiającym funkcjonowanie w budynku szkolnictwa specjalnego</t>
  </si>
  <si>
    <t>1.3.2.7</t>
  </si>
  <si>
    <t xml:space="preserve">Transgraniczne Ekomuzeum  Jastrzębie-Zdrój - Karwina - Hawierzów </t>
  </si>
  <si>
    <t>promocja dziedzictwa kulturowo-przyrodniczego</t>
  </si>
  <si>
    <t>1.3.2.8</t>
  </si>
  <si>
    <t>Modernizacja budynku Urzędu Miasta</t>
  </si>
  <si>
    <t>modernizacja pomieszczeń w budynku Urzędu Miasta, w tym modernizacja i dostosowanie  łazienek do obowiązujących przepisów</t>
  </si>
  <si>
    <t>1.3.2.9</t>
  </si>
  <si>
    <t>Termomodernizacja obiektów oświatowych</t>
  </si>
  <si>
    <t>kompleksowa termomodernizacja wybranych  budynków oświatowych w Mieście</t>
  </si>
  <si>
    <t>1.3.2.10</t>
  </si>
  <si>
    <t>Przebudowa ul. Torowej i Majowej</t>
  </si>
  <si>
    <t>1.3.2.11</t>
  </si>
  <si>
    <t>Parking przy ul. Jagiełły</t>
  </si>
  <si>
    <t>zwiększenie ilości miejsc parkingowych</t>
  </si>
  <si>
    <t>1.3.2.13</t>
  </si>
  <si>
    <t>Budowa drogi od ul. Północnej do drogi głównej południowej (Nowopochwacie)</t>
  </si>
  <si>
    <t>poprawa układu komunikacyjnego</t>
  </si>
  <si>
    <t>1.3.2.14</t>
  </si>
  <si>
    <t>Poprawa dostępności komunikacyjnej pogranicza polsko-czeskiego</t>
  </si>
  <si>
    <t>1.3.2.15</t>
  </si>
  <si>
    <t>Budowa łącznika ul. Reymonta - Szybowa</t>
  </si>
  <si>
    <t>1.3.2.16</t>
  </si>
  <si>
    <t>Budowa łącznika ul. Strażacka - Stodoły</t>
  </si>
  <si>
    <t>1.3.2.17</t>
  </si>
  <si>
    <t>Przebudowa ul. Podhalańskiej</t>
  </si>
  <si>
    <t>1.3.2.18</t>
  </si>
  <si>
    <t>Odwodnienie ul. Stawowej</t>
  </si>
  <si>
    <t>prawidłowa gospodarka wodno-ściekowa</t>
  </si>
  <si>
    <t>1.3.2.20</t>
  </si>
  <si>
    <t>Przebudowa ulic Sportowa i Rekreacyjna</t>
  </si>
  <si>
    <t>1.3.2.21</t>
  </si>
  <si>
    <t>Przebudowa ul. Rolniczej wraz z oświetleniem</t>
  </si>
  <si>
    <t>1.3.2.22</t>
  </si>
  <si>
    <t>poprawa bezpieczeństwa w Mieście</t>
  </si>
  <si>
    <t>1.3.2.25</t>
  </si>
  <si>
    <t>Przebudowa ul. K. Wielkiego</t>
  </si>
  <si>
    <t>1.3.2.26</t>
  </si>
  <si>
    <t>Zwiększenie efektywności energetycznej w budynku Centrum Kształcenia Praktycznego i Zespołu Szkół Nr 5 przy ul. Staszica w Jastrzębiu-Zdroju</t>
  </si>
  <si>
    <t>zwiększenie efektywności energetycznej budynku</t>
  </si>
  <si>
    <t>1.3.2.27</t>
  </si>
  <si>
    <t>Zwiększenie efektywności energetycznej w budynku Szkoły Podstawowej nr 17 w Jastrzębiu-Zdroju</t>
  </si>
  <si>
    <t>1.3.2.29</t>
  </si>
  <si>
    <t>Budowa ścieżek rowerowych</t>
  </si>
  <si>
    <t>zwiększenie ilości ścieżek rowerowych</t>
  </si>
  <si>
    <t>1.3.2.30</t>
  </si>
  <si>
    <t>Zwiększenie efektywności energetycznej w budynkach użyteczności publicznej ul. Komuny Paryskiej 14, 16 w Jastrzębiu - Zdroju</t>
  </si>
  <si>
    <t>1.3.2.31</t>
  </si>
  <si>
    <t>1.3.2.32</t>
  </si>
  <si>
    <t>Modernizacja budynku ul. Rostków 7</t>
  </si>
  <si>
    <t>wspieranie efektywności energetycznej i wykorzystanie odnawialnych źródeł energii</t>
  </si>
  <si>
    <t>1.3.2.33</t>
  </si>
  <si>
    <t>Termomodernizacja budynków</t>
  </si>
  <si>
    <t>1.3.2.34</t>
  </si>
  <si>
    <t>Parking  Wodeckiego</t>
  </si>
  <si>
    <t>1.3.2.35</t>
  </si>
  <si>
    <t>Przebudowa skrzyżowania ul. A. Krajowej - Ranoszka z os. Złote Łany</t>
  </si>
  <si>
    <t>poprawa układu komunikacyjnego w Mieście</t>
  </si>
  <si>
    <t>1.3.2.36</t>
  </si>
  <si>
    <t>Przebudowa sali gimnastycznej w ZS Nr 9</t>
  </si>
  <si>
    <t xml:space="preserve">poprawa warunków nauczania </t>
  </si>
  <si>
    <t>1.3.2.37</t>
  </si>
  <si>
    <t>integrowanie i osiąganie porozumienia między różnymi grupami zawodowymi, społecznymi, kulturowymi czy religijnymi oraz udzielanie pomocy w/w grupom w nawiązywaniu relacji, współpracy, integracji czy wspólnym rozwiązywaniu problemów</t>
  </si>
  <si>
    <t>1.3.2.38</t>
  </si>
  <si>
    <t>Zwiększenie efektywności energetycznej w budynku ZS 12 w Jastrzębiu-Zdroju</t>
  </si>
  <si>
    <t>zwiększenie efektywności energetycznej</t>
  </si>
  <si>
    <t>1.3.2.39</t>
  </si>
  <si>
    <t>1.3.2.40</t>
  </si>
  <si>
    <t>Rewitalizacja i przebudowa Alei Piłsudskiego w Jastrzębiu - Zdroju</t>
  </si>
  <si>
    <t>stworzenie atrakcyjnej przestrzeni publicznej wzdłuż Alei Piłsudskiego w centralnej części Miasta</t>
  </si>
  <si>
    <t>1.3.2.41</t>
  </si>
  <si>
    <t>Przebudowa drogi - odnoga ul. Boża Góra Prawa wraz z odwodnieniem</t>
  </si>
  <si>
    <t>1.3.2.42</t>
  </si>
  <si>
    <t>Przebudowa ul. Mazowieckiej</t>
  </si>
  <si>
    <t>1.3.2.43</t>
  </si>
  <si>
    <t>Przebudowa ul. Chlebowej</t>
  </si>
  <si>
    <t>Przebudowa ul. J. Dąbrowskiego</t>
  </si>
  <si>
    <t>1.3.2.45</t>
  </si>
  <si>
    <t>1.3.2.46</t>
  </si>
  <si>
    <t>Przebudowa drogi - ul. Szotkowicka do granicy z gminą Godów</t>
  </si>
  <si>
    <t>Budowa chodnika ul. Powstańców Śl.</t>
  </si>
  <si>
    <t xml:space="preserve">poprawa bezpieczeństwa ruchu pieszego </t>
  </si>
  <si>
    <t>1.3.2.50</t>
  </si>
  <si>
    <t>Oddymianie w przedszkolach</t>
  </si>
  <si>
    <t xml:space="preserve">poprawa bezpieczeństwa pożarowego w przedszkolach </t>
  </si>
  <si>
    <t>1.3.2.53</t>
  </si>
  <si>
    <t>1.3.2.54</t>
  </si>
  <si>
    <t>1.3.2.55</t>
  </si>
  <si>
    <t>Budowa garażu przy budynku OSP ul. Cieszyńska 101A</t>
  </si>
  <si>
    <t>budowa garażu w celu przechowywania specjalistycznego samochodu gaśniczego ze zbiornikiem na wodę</t>
  </si>
  <si>
    <t>1.3.2.56</t>
  </si>
  <si>
    <t>Budowa PSZOK</t>
  </si>
  <si>
    <t>lepsze zaspokojenie potrzeb mieszkańców pod względem możliwości zapewnienia odbioru różnych rodzajów odpadów</t>
  </si>
  <si>
    <t>1.3.2.57</t>
  </si>
  <si>
    <t xml:space="preserve">Tworzenie terenów inwestycyjnych na terenie byłej  KWK Moszczenica </t>
  </si>
  <si>
    <t>podniesienie atrakcyjności terenów poprzemysłowych</t>
  </si>
  <si>
    <t>1.3.2.58</t>
  </si>
  <si>
    <t>Modernizacja zabytkowego Parku Zdrojowego im. Mikołaja Witczaka oraz historycznych obiektów w Jastrzębiu - Zdroju</t>
  </si>
  <si>
    <t>zachowanie dziedzictwa kulturowego i naturalnego</t>
  </si>
  <si>
    <t>Odwodnienie oś. Złote Łany</t>
  </si>
  <si>
    <t>1.3.2.60</t>
  </si>
  <si>
    <t>Zagospodarowanie terenu ul. K. Paryskiej 9</t>
  </si>
  <si>
    <t>możliwość prowadzenia działalności kulturalnej dla lokalnej społeczności</t>
  </si>
  <si>
    <t>1.3.2.61</t>
  </si>
  <si>
    <t>1.3.2.62</t>
  </si>
  <si>
    <t>termomodernizacja budynku Wspólnoty Nieruchomości przy ul. Wodeckiego w Jastrzębiu - Zdroju</t>
  </si>
  <si>
    <t>1.3.2.63</t>
  </si>
  <si>
    <t>Budowa dróg ul. Gołębia</t>
  </si>
  <si>
    <t>1.3.2.64</t>
  </si>
  <si>
    <t>Budowa dróg Reymonta-Okopowa</t>
  </si>
  <si>
    <t>1.3.2.65</t>
  </si>
  <si>
    <t>Przebudowa ul. Dubielec</t>
  </si>
  <si>
    <t>Przebudowa skrzyżowania ulic Al. Piłsudskiego-Graniczna-Północna</t>
  </si>
  <si>
    <t>1.3.2.67</t>
  </si>
  <si>
    <t xml:space="preserve">Zmiana sposobu użytkowania lokali użytkowych przy ul. Szarych Szeregów 1-3-5 na lokale mieszkalne dostosowane dla osób niepełnosprawnych </t>
  </si>
  <si>
    <t>wykonanie adaptacji lokali użytkowych zlokalizowanych na parterze budynku przy ul. Szarych Szeregów 1-3-5 na lokale mieszkalne</t>
  </si>
  <si>
    <t>1.3.2.68</t>
  </si>
  <si>
    <t>1.3.2.69</t>
  </si>
  <si>
    <t>Remont i przebudowa basenu krytego przy ul. Harcerskiej</t>
  </si>
  <si>
    <t>poszerzenie bazy sportowo-rekreacyjnej w mieście</t>
  </si>
  <si>
    <t>1.3.2.70</t>
  </si>
  <si>
    <t>Wykorzystanie odnawialnych źródeł energii w SP 17 w Jastrzębiu-Zdroju</t>
  </si>
  <si>
    <t xml:space="preserve">wytwarzanie energii z odnawialnych źródeł </t>
  </si>
  <si>
    <t>1.3.2.71</t>
  </si>
  <si>
    <t>Wykorzystanie odnawialnych źródeł energii w ZS 6 w Jastrzębiu-Zdroju</t>
  </si>
  <si>
    <t>1.3.2.72</t>
  </si>
  <si>
    <t>Wykorzystanie odnawialnych źródeł energii w ZS 12 w Jastrzębiu-Zdroju</t>
  </si>
  <si>
    <t>1.3.2.73</t>
  </si>
  <si>
    <t>Wykorzystanie odnawialnych źródeł energii w ZSMS w Jastrzębiu-Zdroju</t>
  </si>
  <si>
    <t>1.3.2.74</t>
  </si>
  <si>
    <t>Wykorzystanie odnawialnych źródeł energii w DPS w Jastrzębiu-Zdroju</t>
  </si>
  <si>
    <t>1.3.2.75</t>
  </si>
  <si>
    <t>Wykorzystanie odnawialnych źródeł energii na Kąpielisku Zdrój w Jastrzębiu-Zdroju</t>
  </si>
  <si>
    <t>1.3.2.76</t>
  </si>
  <si>
    <t>Zwiększenie efektywności energetycznej w budynku SP 1 wraz z rozbudową na cele PP 7 w Jastrzębiu-Zdroju</t>
  </si>
  <si>
    <t>zwiększenie efektywności energetycznej budynku SP nr 1 oraz poprawa jakości usług świadczonych w PP 7</t>
  </si>
  <si>
    <t>1.3.2.77</t>
  </si>
  <si>
    <t>Przebudowa ul. Boża Góra Prawa</t>
  </si>
  <si>
    <t>1.3.2.78</t>
  </si>
  <si>
    <t>Rewitalizacja obiektu Łazienki III w Parku Zdrojowym</t>
  </si>
  <si>
    <t xml:space="preserve">zachowanie dziedzictwa kulturowego </t>
  </si>
  <si>
    <t>1.3.2.79</t>
  </si>
  <si>
    <t>Parking przy ul. ks. Płonki</t>
  </si>
  <si>
    <t>1.3.2.80</t>
  </si>
  <si>
    <t>Przebudowa ul. Dunikowskiego</t>
  </si>
  <si>
    <t>1.3.2.81</t>
  </si>
  <si>
    <t>Budowa chodnika ul. Połomska wraz z oświetleniem</t>
  </si>
  <si>
    <t xml:space="preserve">Budowa drogi łącznik ul. J. Dąbrowskiego w Jastrzębiu-Zdroju z ul. Wallacha w gminie Godów </t>
  </si>
  <si>
    <t>Budowa chodnika ul. Libowiec</t>
  </si>
  <si>
    <t xml:space="preserve">poprawa bezpieczeństwa w Mieście </t>
  </si>
  <si>
    <t>Enriching the curriculum with ICT</t>
  </si>
  <si>
    <t>Publiczne Przedszkole nr 17</t>
  </si>
  <si>
    <t>poprawa i rozwój umiejętności pracowników zwłaszcza w zakresie pracy z uczniami z wykorzystaniem nowoczesnych metod nauczania  z udziałem technologii informacyjnych i komunikacyjnych oraz promowanie języka  angielskiego</t>
  </si>
  <si>
    <t>Przebudowa wiaduktu w ciągu Al. Piłsudskiego</t>
  </si>
  <si>
    <t xml:space="preserve">poprawa bezpieczeństwa ruchu </t>
  </si>
  <si>
    <t>Razem przeciw powodzi</t>
  </si>
  <si>
    <t>Łączność ponad granicami - Zintensyfikowanie komunikacyjnego potencjału SM Jastrzębie-Zdrój z MP Karwina</t>
  </si>
  <si>
    <t>zintensyfikownaie działań prewencyjnych o charakterze transgranicznym, prowadzących przez obie jednostki</t>
  </si>
  <si>
    <t>Śląskie pogranicze - wspólna historia miast Hawierzów, Jastrzębie-Zdrój, Karwina</t>
  </si>
  <si>
    <t>zintegrowanie mieszkańców trzech miast poprzez ich aktywny udział w wydarzeniach oferowanych przez partnerskie samorządy</t>
  </si>
  <si>
    <t>podniesienie transgranicznej gotowości dopodejmowania działań podczas zagrożeń powodziowych</t>
  </si>
  <si>
    <t>Rozbudowa drogi powiatowej nr 7801S (ulica Powstańców Śląskich) w Jastrzębiu-Zdroju</t>
  </si>
  <si>
    <t xml:space="preserve">poprawa jakości  usług świadczonych przez jednostki miejskie </t>
  </si>
  <si>
    <t>Sygnalizacja świetlna w Mieście</t>
  </si>
  <si>
    <t>Przebudowa i modernizacja budynku przy ul. Wielkopolskiej 20 na potrzeby jednostek organizacyjnych Miasta</t>
  </si>
  <si>
    <t>Historia Węglem Pisana Jastrzębie-Zdrój - Karwina - Hawierzów</t>
  </si>
  <si>
    <t>promocja dziedzictwa kulturowego</t>
  </si>
  <si>
    <t>Wykorzystanie odnawialnych źródeł energii w SP 1 w Jastrzębiu-Zdroju</t>
  </si>
  <si>
    <t>Zagospodarowanie przestrzeni miejskich</t>
  </si>
  <si>
    <t>Nasza przyszłość w naszych rękach - praktyki zagraniczne uczniów CKP w Jastrzębiu-Zdroju</t>
  </si>
  <si>
    <t>poprawa estetyki Miasta</t>
  </si>
  <si>
    <t>Innowacja kształcenia w dziedzinie turystyki CZ-PL pogranicza w odniesieniu do potrzeb rynku pracy</t>
  </si>
  <si>
    <t>Zespół Szkół Nr 2</t>
  </si>
  <si>
    <t>odbycie zagranicznych praktyk zawodowych przez uczniów klas trzecich kształcących się w zawodach technik mechatronik, technik analityk, technik elektryk oraz technik informatyk</t>
  </si>
  <si>
    <t>poprawa jakości szkolnictwa zawodowego z uwzględnieniem współpracy z pracodawcami, wsparcie uczniów w poznawaniu najnowszych technologi i trendów jakie panują w gastronomii i hotelarstwie</t>
  </si>
  <si>
    <t>Europejska ścieżka kariery zawodowej szansą na lepszą przyszłość</t>
  </si>
  <si>
    <t>Przez współpracę do sukcesu</t>
  </si>
  <si>
    <t>Szkoła Podstawowa nr 18</t>
  </si>
  <si>
    <t>Przebudowa parkingu ul. Poznańska 14-28</t>
  </si>
  <si>
    <t>Wykonanie napisów nazw osiedli oraz bilbordów</t>
  </si>
  <si>
    <t>zastąpienie starych napisów z nazwami osiedli nowymi oraz wykonanie bilbordów</t>
  </si>
  <si>
    <t>Plan III kw. 2017 roku</t>
  </si>
  <si>
    <t>Wykonanie 2017 roku</t>
  </si>
  <si>
    <t>Strażak bez granic</t>
  </si>
  <si>
    <t>Cyfryzacja i standaryzacja danych powiatowego zasobu geodezyjnego i kartograficznego w Jastrzębiu-Zdroju podstawą rozwoju wysokiej jakości elektronicznych usług publicznych opartych na geoinformacji</t>
  </si>
  <si>
    <t>zbudowanie zbioru dokumentów cyfrowych i modernizacja geoprzestrzennych baz danych miasta stanowiących podstawę wdrożenia i świadczenia zaawansowanych e-usług publicznych</t>
  </si>
  <si>
    <t>Budowa chodnika ul. Niepodległości</t>
  </si>
  <si>
    <t>Budowa odwodnienia ul. Gałczyńskiego</t>
  </si>
  <si>
    <t>Budowa parkingów miejskich</t>
  </si>
  <si>
    <t>zwiekszenie ilości miejsc parkingowych</t>
  </si>
  <si>
    <t>Budowa drogi - odnoga ul. Dębina</t>
  </si>
  <si>
    <t>Budowa zjazdu dla niepełnosprawnych przy ul. Kusocińskiego</t>
  </si>
  <si>
    <t xml:space="preserve">odbycie zagranicznych staży zawodowych  uczniów w Portugalii i Niemczech </t>
  </si>
  <si>
    <t>podniesienie kwalifikacji oraz umiejętności pracowników, w tym podniesienie umiejętności językowych nauczycieli odbywających kurs językowy oraz kurs metodyczny</t>
  </si>
  <si>
    <t>organizacja i uczestnictwo w Pokazach Zabytkowych Strażackich Sikawek Konnych wraz z przeprowadzeniem konkurencji bojowej „Jak dawniej gaszono pożary”, stworzenie międzynarodowej komisji sędziowskiej oraz wspólny wyjazd drużyn obu jednostek OSP i SDH oraz funkcjonariuszy PSP na Europejskie i Krajowe Zawody Sikawek Konnych</t>
  </si>
  <si>
    <t>Komenda Miejska Państwowej Straży Pożarnej</t>
  </si>
  <si>
    <t>Adaptacja pomieszczeń KMPSP na punkt sprzętu ochrony dróg oddechowych</t>
  </si>
  <si>
    <t>serwisowanie sprzętu ochrony dróg oddechowych</t>
  </si>
  <si>
    <t>Budowa Domu Porozumienia Jastrzębskiego i Solidarności w Jastrzębiu-Zdroju</t>
  </si>
  <si>
    <t>podniesienie atrakcyjności terenów przemysłowych</t>
  </si>
  <si>
    <t>poprawa bezpieczeństwa ruchu dla osób niepełnosprawnych</t>
  </si>
  <si>
    <t>1.3.2.12</t>
  </si>
  <si>
    <t>1.3.2.19</t>
  </si>
  <si>
    <t>1.3.2.23</t>
  </si>
  <si>
    <t>1.3.2.24</t>
  </si>
  <si>
    <t>1.3.2.28</t>
  </si>
  <si>
    <t>1.3.2.44</t>
  </si>
  <si>
    <t>1.3.2.47</t>
  </si>
  <si>
    <t>1.3.2.48</t>
  </si>
  <si>
    <t>1.3.2.49</t>
  </si>
  <si>
    <t>1.3.2.51</t>
  </si>
  <si>
    <t>1.3.2.52</t>
  </si>
  <si>
    <t>1.3.2.59</t>
  </si>
  <si>
    <t>1.3.2.66</t>
  </si>
  <si>
    <t>1.3.2.82</t>
  </si>
  <si>
    <t>1.1.1.1</t>
  </si>
  <si>
    <t>1.1.1.2</t>
  </si>
  <si>
    <t>1.1.1.3</t>
  </si>
  <si>
    <t>1.1.1.4</t>
  </si>
  <si>
    <t>1.1.1.5</t>
  </si>
  <si>
    <t>1.1.1.10</t>
  </si>
  <si>
    <t>1.1.1.11</t>
  </si>
  <si>
    <t>1.1.1.14</t>
  </si>
  <si>
    <t>1.1.1.15</t>
  </si>
  <si>
    <t>1.1.1.18</t>
  </si>
  <si>
    <t>1.1.1.19</t>
  </si>
  <si>
    <t>1.1.1.20</t>
  </si>
  <si>
    <t>1.1.1.21</t>
  </si>
  <si>
    <t>1.1.2.2</t>
  </si>
  <si>
    <t>1.1.2.3</t>
  </si>
  <si>
    <t>1.1.2.4</t>
  </si>
  <si>
    <t>1.1.2.6</t>
  </si>
  <si>
    <t>1.1.2.7</t>
  </si>
  <si>
    <t>Przebudowa wiaduktu wraz z drogami dojazdowymi w ciągu drogi 933 w Jastrzębiu-Zdroju</t>
  </si>
  <si>
    <t>podniesienie transgranicznej gotowości do podejmowania działań podczas zagrożeń powodziowych</t>
  </si>
  <si>
    <t>Przebudowa przepustu drogowego w ciągu ul. ks. J. Popiełuszki</t>
  </si>
  <si>
    <t>poprawa bezpieczeństwa ruchu na drodze</t>
  </si>
  <si>
    <t>Przebudowa ul. Okrzei</t>
  </si>
  <si>
    <t>Utworzenie Centrum Usług Społecznych oraz świetlicy specjalistycznej dla mieszkańców ulic Gagarina i Tysiąclecia w Jastrzębiu-Zdroju</t>
  </si>
  <si>
    <t xml:space="preserve">wzrost dostępności i jakości usług społecznych zapobiegających ubóstwu i wykluczeniu społecznemu na terenie Miasta Jastrzębie-Zdrój </t>
  </si>
  <si>
    <t xml:space="preserve">zakup tablicy interaktywnej na potrzeby placówki wsparcia dziennego-specjalistycznej świetlicy </t>
  </si>
  <si>
    <t>Budowa wybiegu dla psów</t>
  </si>
  <si>
    <t>poprawa warunków bytowych zwierząt</t>
  </si>
  <si>
    <t>Profesjonalne pracownie w Jastrzębiu-Zdroju 2</t>
  </si>
  <si>
    <t>zakup sprzetu do znakowania i rejestracji rowerów</t>
  </si>
  <si>
    <t>Wspólna Strażnica</t>
  </si>
  <si>
    <t>pozyskanie przestrzeni użytkowej dla Komendy i organizacji związanych ze strażą pożarną</t>
  </si>
  <si>
    <t xml:space="preserve">Przebudowa układu komunikacyjnego oraz parkingu przy SP 15 </t>
  </si>
  <si>
    <t>Wykonanie koncepcji i projektu dróg na terenie po KWK "JAS-MOS" i włączenie tego terenu do Drogi Głównej Południowej (DW 933)</t>
  </si>
  <si>
    <t>wzmocnienie atrakcyjności i podniesienie jakości oferty edukacyjnej jastrzębskich szkół prowadzących kształcenie zawodowe, służące podniesieniu zdolności uczniów do przyszłego zatrudnienia-wyposażenie pracowni</t>
  </si>
  <si>
    <t>wzmocnienie atrakcyjności i podniesienie jakości oferty edukacyjnej jastrzębskich szkół prowadzących kształcenie zawodowe, służące podniesieniu zdolności uczniów do przyszłego zatrudnienia- promocja</t>
  </si>
  <si>
    <t>1.1.2.10</t>
  </si>
  <si>
    <t>1.1.2.11</t>
  </si>
  <si>
    <t>1.1.2.12</t>
  </si>
  <si>
    <t>1.1.2.13</t>
  </si>
  <si>
    <t>1.1.2.14</t>
  </si>
  <si>
    <t>1.1.2.15</t>
  </si>
  <si>
    <t>1.1.2.16</t>
  </si>
  <si>
    <t>1.1.2.17</t>
  </si>
  <si>
    <t>1.1.2.18</t>
  </si>
  <si>
    <t>1.1.1.23</t>
  </si>
  <si>
    <t>1.1.1.24</t>
  </si>
  <si>
    <t>Wykaz przedsięwzięć wieloletnich</t>
  </si>
  <si>
    <t>Jednostka odpowiedzialna lub koordynująca program</t>
  </si>
  <si>
    <t>Okres realizacji programu</t>
  </si>
  <si>
    <t>Limity wydatków w poszczególnych latach (wszystkie lata)</t>
  </si>
  <si>
    <t>do Uchwały Nr XXIII.203.2017</t>
  </si>
  <si>
    <t>z dnia 19 grudnia 2017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</si>
</sst>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%"/>
    <numFmt numFmtId="165" formatCode="#,##0_ ;[Red]\-#,##0\ "/>
    <numFmt numFmtId="166" formatCode="0.000%"/>
    <numFmt numFmtId="167" formatCode="#,##0.00_ ;[Red]\-#,##0.00\ "/>
  </numFmts>
  <fonts count="3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b/>
      <sz val="10"/>
      <color rgb="FF000066"/>
      <name val="Arial"/>
      <family val="2"/>
      <charset val="238"/>
    </font>
    <font>
      <b/>
      <sz val="9"/>
      <color rgb="FF000066"/>
      <name val="Arial"/>
      <family val="2"/>
      <charset val="238"/>
    </font>
    <font>
      <sz val="10"/>
      <color rgb="FF000066"/>
      <name val="Arial"/>
      <family val="2"/>
      <charset val="238"/>
    </font>
    <font>
      <sz val="11"/>
      <color theme="5" tint="-0.249977111117893"/>
      <name val="Calibri"/>
      <family val="2"/>
      <charset val="238"/>
      <scheme val="minor"/>
    </font>
    <font>
      <sz val="10"/>
      <color theme="5" tint="-0.249977111117893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66"/>
      <name val="Arial"/>
      <family val="2"/>
      <charset val="238"/>
    </font>
    <font>
      <b/>
      <sz val="10"/>
      <color theme="5" tint="-0.249977111117893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DE8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DE6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6" fillId="0" borderId="0"/>
  </cellStyleXfs>
  <cellXfs count="335">
    <xf numFmtId="0" fontId="0" fillId="0" borderId="0" xfId="0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5" xfId="0" applyFont="1" applyBorder="1"/>
    <xf numFmtId="0" fontId="3" fillId="0" borderId="6" xfId="0" applyFont="1" applyBorder="1"/>
    <xf numFmtId="0" fontId="10" fillId="0" borderId="0" xfId="0" applyFont="1"/>
    <xf numFmtId="3" fontId="10" fillId="0" borderId="0" xfId="0" applyNumberFormat="1" applyFont="1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/>
    <xf numFmtId="10" fontId="10" fillId="3" borderId="1" xfId="1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165" fontId="17" fillId="4" borderId="1" xfId="2" applyNumberFormat="1" applyFont="1" applyFill="1" applyBorder="1" applyAlignment="1">
      <alignment vertical="center" shrinkToFit="1"/>
    </xf>
    <xf numFmtId="3" fontId="3" fillId="0" borderId="0" xfId="0" applyNumberFormat="1" applyFont="1"/>
    <xf numFmtId="3" fontId="18" fillId="2" borderId="1" xfId="0" applyNumberFormat="1" applyFont="1" applyFill="1" applyBorder="1" applyAlignment="1">
      <alignment vertical="center" wrapText="1"/>
    </xf>
    <xf numFmtId="3" fontId="19" fillId="2" borderId="1" xfId="0" applyNumberFormat="1" applyFont="1" applyFill="1" applyBorder="1" applyAlignment="1">
      <alignment vertical="center" wrapText="1"/>
    </xf>
    <xf numFmtId="3" fontId="20" fillId="2" borderId="1" xfId="0" applyNumberFormat="1" applyFont="1" applyFill="1" applyBorder="1" applyAlignment="1">
      <alignment vertical="center" wrapText="1"/>
    </xf>
    <xf numFmtId="10" fontId="19" fillId="2" borderId="1" xfId="1" applyNumberFormat="1" applyFont="1" applyFill="1" applyBorder="1" applyAlignment="1">
      <alignment vertical="center" wrapText="1"/>
    </xf>
    <xf numFmtId="10" fontId="22" fillId="3" borderId="1" xfId="1" applyNumberFormat="1" applyFont="1" applyFill="1" applyBorder="1" applyAlignment="1">
      <alignment vertical="center" wrapText="1"/>
    </xf>
    <xf numFmtId="3" fontId="23" fillId="2" borderId="1" xfId="0" applyNumberFormat="1" applyFont="1" applyFill="1" applyBorder="1" applyAlignment="1">
      <alignment vertical="center" wrapText="1"/>
    </xf>
    <xf numFmtId="3" fontId="23" fillId="0" borderId="1" xfId="0" applyNumberFormat="1" applyFont="1" applyBorder="1"/>
    <xf numFmtId="3" fontId="23" fillId="3" borderId="1" xfId="0" applyNumberFormat="1" applyFont="1" applyFill="1" applyBorder="1" applyAlignment="1">
      <alignment vertical="center" wrapText="1"/>
    </xf>
    <xf numFmtId="3" fontId="19" fillId="3" borderId="1" xfId="0" applyNumberFormat="1" applyFont="1" applyFill="1" applyBorder="1" applyAlignment="1">
      <alignment vertical="center" wrapText="1"/>
    </xf>
    <xf numFmtId="166" fontId="10" fillId="3" borderId="1" xfId="1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/>
    <xf numFmtId="3" fontId="19" fillId="2" borderId="1" xfId="0" applyNumberFormat="1" applyFont="1" applyFill="1" applyBorder="1" applyAlignment="1">
      <alignment vertical="center" wrapText="1"/>
    </xf>
    <xf numFmtId="0" fontId="3" fillId="0" borderId="0" xfId="0" applyFont="1"/>
    <xf numFmtId="3" fontId="19" fillId="2" borderId="1" xfId="0" applyNumberFormat="1" applyFont="1" applyFill="1" applyBorder="1" applyAlignment="1">
      <alignment vertical="center" wrapText="1"/>
    </xf>
    <xf numFmtId="3" fontId="19" fillId="2" borderId="1" xfId="0" applyNumberFormat="1" applyFont="1" applyFill="1" applyBorder="1" applyAlignment="1">
      <alignment vertical="center" wrapText="1"/>
    </xf>
    <xf numFmtId="3" fontId="19" fillId="2" borderId="1" xfId="0" applyNumberFormat="1" applyFont="1" applyFill="1" applyBorder="1" applyAlignment="1">
      <alignment vertical="center" wrapText="1"/>
    </xf>
    <xf numFmtId="3" fontId="19" fillId="2" borderId="1" xfId="0" applyNumberFormat="1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/>
    </xf>
    <xf numFmtId="0" fontId="4" fillId="6" borderId="6" xfId="0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vertical="center" wrapText="1"/>
    </xf>
    <xf numFmtId="3" fontId="18" fillId="6" borderId="1" xfId="0" applyNumberFormat="1" applyFont="1" applyFill="1" applyBorder="1" applyAlignment="1">
      <alignment vertical="center" wrapText="1"/>
    </xf>
    <xf numFmtId="3" fontId="11" fillId="6" borderId="1" xfId="0" applyNumberFormat="1" applyFont="1" applyFill="1" applyBorder="1" applyAlignment="1">
      <alignment vertical="center" wrapText="1"/>
    </xf>
    <xf numFmtId="3" fontId="21" fillId="6" borderId="1" xfId="0" applyNumberFormat="1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3" fontId="4" fillId="6" borderId="1" xfId="0" applyNumberFormat="1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3" fontId="19" fillId="6" borderId="1" xfId="0" applyNumberFormat="1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left" vertical="center" wrapText="1"/>
    </xf>
    <xf numFmtId="3" fontId="14" fillId="6" borderId="1" xfId="0" applyNumberFormat="1" applyFont="1" applyFill="1" applyBorder="1" applyAlignment="1">
      <alignment horizontal="right" vertical="center" wrapText="1"/>
    </xf>
    <xf numFmtId="3" fontId="14" fillId="6" borderId="6" xfId="0" applyNumberFormat="1" applyFont="1" applyFill="1" applyBorder="1" applyAlignment="1">
      <alignment vertical="center" wrapText="1"/>
    </xf>
    <xf numFmtId="3" fontId="14" fillId="6" borderId="4" xfId="0" applyNumberFormat="1" applyFont="1" applyFill="1" applyBorder="1" applyAlignment="1">
      <alignment vertical="center" wrapText="1"/>
    </xf>
    <xf numFmtId="3" fontId="19" fillId="6" borderId="4" xfId="0" applyNumberFormat="1" applyFont="1" applyFill="1" applyBorder="1" applyAlignment="1">
      <alignment vertical="center" wrapText="1"/>
    </xf>
    <xf numFmtId="3" fontId="19" fillId="6" borderId="5" xfId="0" applyNumberFormat="1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4" fillId="5" borderId="1" xfId="0" applyFont="1" applyFill="1" applyBorder="1" applyAlignment="1">
      <alignment horizontal="center" vertical="center" wrapText="1"/>
    </xf>
    <xf numFmtId="167" fontId="17" fillId="4" borderId="1" xfId="2" applyNumberFormat="1" applyFont="1" applyFill="1" applyBorder="1" applyAlignment="1">
      <alignment vertical="center" shrinkToFit="1"/>
    </xf>
    <xf numFmtId="3" fontId="19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3" fontId="19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3" fillId="0" borderId="0" xfId="0" applyFont="1"/>
    <xf numFmtId="0" fontId="2" fillId="0" borderId="1" xfId="0" applyFont="1" applyFill="1" applyBorder="1" applyAlignment="1">
      <alignment vertical="center" wrapText="1"/>
    </xf>
    <xf numFmtId="3" fontId="23" fillId="2" borderId="6" xfId="0" applyNumberFormat="1" applyFont="1" applyFill="1" applyBorder="1" applyAlignment="1">
      <alignment vertical="center" wrapText="1"/>
    </xf>
    <xf numFmtId="3" fontId="19" fillId="2" borderId="4" xfId="0" applyNumberFormat="1" applyFont="1" applyFill="1" applyBorder="1" applyAlignment="1">
      <alignment vertical="center" wrapText="1"/>
    </xf>
    <xf numFmtId="3" fontId="19" fillId="2" borderId="5" xfId="0" applyNumberFormat="1" applyFont="1" applyFill="1" applyBorder="1" applyAlignment="1">
      <alignment vertical="center" wrapText="1"/>
    </xf>
    <xf numFmtId="2" fontId="19" fillId="2" borderId="1" xfId="1" applyNumberFormat="1" applyFont="1" applyFill="1" applyBorder="1" applyAlignment="1">
      <alignment vertical="center" wrapText="1"/>
    </xf>
    <xf numFmtId="164" fontId="15" fillId="3" borderId="1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3" fontId="22" fillId="2" borderId="1" xfId="0" applyNumberFormat="1" applyFont="1" applyFill="1" applyBorder="1" applyAlignment="1">
      <alignment vertical="center" wrapText="1"/>
    </xf>
    <xf numFmtId="3" fontId="22" fillId="3" borderId="1" xfId="0" applyNumberFormat="1" applyFont="1" applyFill="1" applyBorder="1" applyAlignment="1">
      <alignment vertical="center" wrapText="1"/>
    </xf>
    <xf numFmtId="3" fontId="19" fillId="2" borderId="1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3" fontId="19" fillId="2" borderId="1" xfId="0" applyNumberFormat="1" applyFont="1" applyFill="1" applyBorder="1" applyAlignment="1">
      <alignment vertical="center" wrapText="1"/>
    </xf>
    <xf numFmtId="0" fontId="3" fillId="0" borderId="0" xfId="0" applyFont="1"/>
    <xf numFmtId="3" fontId="19" fillId="2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4" fillId="5" borderId="1" xfId="0" applyFont="1" applyFill="1" applyBorder="1" applyAlignment="1">
      <alignment horizontal="center" vertical="center" wrapText="1"/>
    </xf>
    <xf numFmtId="4" fontId="23" fillId="2" borderId="1" xfId="1" applyNumberFormat="1" applyFont="1" applyFill="1" applyBorder="1" applyAlignment="1">
      <alignment vertical="center" wrapText="1"/>
    </xf>
    <xf numFmtId="3" fontId="5" fillId="0" borderId="0" xfId="0" applyNumberFormat="1" applyFont="1"/>
    <xf numFmtId="3" fontId="19" fillId="2" borderId="1" xfId="0" applyNumberFormat="1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19" fillId="2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4" fillId="5" borderId="1" xfId="0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vertical="center" wrapText="1"/>
    </xf>
    <xf numFmtId="4" fontId="18" fillId="6" borderId="1" xfId="0" applyNumberFormat="1" applyFont="1" applyFill="1" applyBorder="1" applyAlignment="1">
      <alignment vertical="center" wrapText="1"/>
    </xf>
    <xf numFmtId="4" fontId="18" fillId="2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 wrapText="1"/>
    </xf>
    <xf numFmtId="4" fontId="23" fillId="2" borderId="1" xfId="0" applyNumberFormat="1" applyFont="1" applyFill="1" applyBorder="1" applyAlignment="1">
      <alignment vertical="center" wrapText="1"/>
    </xf>
    <xf numFmtId="4" fontId="23" fillId="3" borderId="1" xfId="0" applyNumberFormat="1" applyFont="1" applyFill="1" applyBorder="1" applyAlignment="1">
      <alignment vertical="center" wrapText="1"/>
    </xf>
    <xf numFmtId="4" fontId="20" fillId="2" borderId="1" xfId="0" applyNumberFormat="1" applyFont="1" applyFill="1" applyBorder="1" applyAlignment="1">
      <alignment vertical="center" wrapText="1"/>
    </xf>
    <xf numFmtId="4" fontId="19" fillId="2" borderId="6" xfId="0" applyNumberFormat="1" applyFont="1" applyFill="1" applyBorder="1" applyAlignment="1">
      <alignment vertical="center" wrapText="1"/>
    </xf>
    <xf numFmtId="4" fontId="21" fillId="6" borderId="1" xfId="0" applyNumberFormat="1" applyFont="1" applyFill="1" applyBorder="1" applyAlignment="1">
      <alignment vertical="center" wrapText="1"/>
    </xf>
    <xf numFmtId="4" fontId="19" fillId="6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 wrapText="1"/>
    </xf>
    <xf numFmtId="3" fontId="0" fillId="0" borderId="0" xfId="0" applyNumberFormat="1" applyFill="1"/>
    <xf numFmtId="4" fontId="3" fillId="0" borderId="0" xfId="0" applyNumberFormat="1" applyFont="1"/>
    <xf numFmtId="4" fontId="23" fillId="0" borderId="1" xfId="0" applyNumberFormat="1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4" fontId="10" fillId="0" borderId="0" xfId="0" applyNumberFormat="1" applyFont="1"/>
    <xf numFmtId="4" fontId="18" fillId="0" borderId="1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vertical="center" wrapText="1"/>
    </xf>
    <xf numFmtId="3" fontId="18" fillId="0" borderId="1" xfId="0" applyNumberFormat="1" applyFont="1" applyFill="1" applyBorder="1" applyAlignment="1">
      <alignment vertical="center" wrapText="1"/>
    </xf>
    <xf numFmtId="4" fontId="20" fillId="0" borderId="1" xfId="0" applyNumberFormat="1" applyFont="1" applyFill="1" applyBorder="1" applyAlignment="1">
      <alignment vertical="center" wrapText="1"/>
    </xf>
    <xf numFmtId="0" fontId="3" fillId="0" borderId="0" xfId="0" applyFont="1" applyFill="1"/>
    <xf numFmtId="4" fontId="19" fillId="0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 wrapText="1"/>
    </xf>
    <xf numFmtId="3" fontId="19" fillId="2" borderId="1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4" fillId="5" borderId="1" xfId="0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4" fontId="5" fillId="0" borderId="0" xfId="0" applyNumberFormat="1" applyFont="1"/>
    <xf numFmtId="0" fontId="12" fillId="2" borderId="1" xfId="0" applyFont="1" applyFill="1" applyBorder="1" applyAlignment="1">
      <alignment vertical="center" wrapText="1"/>
    </xf>
    <xf numFmtId="165" fontId="12" fillId="4" borderId="1" xfId="2" applyNumberFormat="1" applyFont="1" applyFill="1" applyBorder="1" applyAlignment="1">
      <alignment vertical="center" shrinkToFit="1"/>
    </xf>
    <xf numFmtId="3" fontId="23" fillId="2" borderId="1" xfId="0" applyNumberFormat="1" applyFont="1" applyFill="1" applyBorder="1" applyAlignment="1">
      <alignment horizontal="right" vertical="center" wrapText="1"/>
    </xf>
    <xf numFmtId="4" fontId="23" fillId="2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" fontId="19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4" fontId="19" fillId="3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 wrapText="1"/>
    </xf>
    <xf numFmtId="4" fontId="3" fillId="0" borderId="0" xfId="0" applyNumberFormat="1" applyFont="1" applyFill="1"/>
    <xf numFmtId="4" fontId="19" fillId="2" borderId="1" xfId="0" applyNumberFormat="1" applyFont="1" applyFill="1" applyBorder="1" applyAlignment="1">
      <alignment vertical="center" wrapText="1"/>
    </xf>
    <xf numFmtId="4" fontId="14" fillId="6" borderId="1" xfId="0" applyNumberFormat="1" applyFont="1" applyFill="1" applyBorder="1" applyAlignment="1">
      <alignment horizontal="right" vertical="center" wrapText="1"/>
    </xf>
    <xf numFmtId="4" fontId="19" fillId="6" borderId="5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 wrapText="1"/>
    </xf>
    <xf numFmtId="4" fontId="22" fillId="0" borderId="1" xfId="0" applyNumberFormat="1" applyFont="1" applyFill="1" applyBorder="1" applyAlignment="1">
      <alignment vertical="center" wrapText="1"/>
    </xf>
    <xf numFmtId="4" fontId="12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 applyFill="1"/>
    <xf numFmtId="0" fontId="4" fillId="5" borderId="2" xfId="0" applyFont="1" applyFill="1" applyBorder="1" applyAlignment="1">
      <alignment wrapText="1"/>
    </xf>
    <xf numFmtId="0" fontId="9" fillId="5" borderId="2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top" wrapText="1"/>
    </xf>
    <xf numFmtId="0" fontId="10" fillId="5" borderId="3" xfId="0" applyFont="1" applyFill="1" applyBorder="1" applyAlignment="1">
      <alignment vertical="top" wrapText="1"/>
    </xf>
    <xf numFmtId="0" fontId="29" fillId="2" borderId="1" xfId="0" applyFont="1" applyFill="1" applyBorder="1" applyAlignment="1">
      <alignment horizontal="center" vertical="center" wrapText="1"/>
    </xf>
    <xf numFmtId="3" fontId="29" fillId="2" borderId="1" xfId="0" applyNumberFormat="1" applyFont="1" applyFill="1" applyBorder="1" applyAlignment="1">
      <alignment horizontal="center" vertical="center" wrapText="1"/>
    </xf>
    <xf numFmtId="0" fontId="27" fillId="0" borderId="0" xfId="0" applyFont="1"/>
    <xf numFmtId="3" fontId="5" fillId="2" borderId="1" xfId="0" applyNumberFormat="1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vertical="center" wrapText="1"/>
    </xf>
    <xf numFmtId="0" fontId="30" fillId="2" borderId="1" xfId="0" applyFont="1" applyFill="1" applyBorder="1" applyAlignment="1">
      <alignment vertical="center" wrapText="1"/>
    </xf>
    <xf numFmtId="3" fontId="30" fillId="2" borderId="1" xfId="0" applyNumberFormat="1" applyFont="1" applyFill="1" applyBorder="1" applyAlignment="1">
      <alignment vertical="center" wrapText="1"/>
    </xf>
    <xf numFmtId="3" fontId="32" fillId="2" borderId="1" xfId="0" applyNumberFormat="1" applyFont="1" applyFill="1" applyBorder="1" applyAlignment="1">
      <alignment vertical="center" wrapText="1"/>
    </xf>
    <xf numFmtId="0" fontId="33" fillId="0" borderId="0" xfId="0" applyFont="1"/>
    <xf numFmtId="0" fontId="11" fillId="0" borderId="2" xfId="0" applyFont="1" applyFill="1" applyBorder="1" applyAlignment="1">
      <alignment wrapText="1"/>
    </xf>
    <xf numFmtId="0" fontId="0" fillId="0" borderId="0" xfId="0" applyFill="1"/>
    <xf numFmtId="0" fontId="1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0" fillId="3" borderId="0" xfId="0" applyFill="1"/>
    <xf numFmtId="0" fontId="3" fillId="3" borderId="0" xfId="0" applyFont="1" applyFill="1"/>
    <xf numFmtId="0" fontId="32" fillId="0" borderId="1" xfId="0" applyFont="1" applyFill="1" applyBorder="1" applyAlignment="1">
      <alignment vertical="center" wrapText="1"/>
    </xf>
    <xf numFmtId="3" fontId="32" fillId="0" borderId="1" xfId="0" applyNumberFormat="1" applyFont="1" applyFill="1" applyBorder="1" applyAlignment="1">
      <alignment vertical="center" wrapText="1"/>
    </xf>
    <xf numFmtId="0" fontId="34" fillId="0" borderId="0" xfId="0" applyFont="1"/>
    <xf numFmtId="0" fontId="30" fillId="0" borderId="1" xfId="0" applyFont="1" applyFill="1" applyBorder="1" applyAlignment="1">
      <alignment vertical="center" wrapText="1"/>
    </xf>
    <xf numFmtId="3" fontId="30" fillId="0" borderId="1" xfId="0" applyNumberFormat="1" applyFont="1" applyFill="1" applyBorder="1" applyAlignment="1">
      <alignment vertical="center" wrapText="1"/>
    </xf>
    <xf numFmtId="0" fontId="33" fillId="0" borderId="0" xfId="0" applyFont="1" applyFill="1"/>
    <xf numFmtId="0" fontId="37" fillId="0" borderId="0" xfId="0" applyFont="1" applyFill="1"/>
    <xf numFmtId="0" fontId="26" fillId="0" borderId="0" xfId="0" applyFont="1"/>
    <xf numFmtId="0" fontId="2" fillId="0" borderId="1" xfId="0" applyFont="1" applyFill="1" applyBorder="1" applyAlignment="1">
      <alignment vertical="center" wrapText="1"/>
    </xf>
    <xf numFmtId="0" fontId="3" fillId="0" borderId="0" xfId="0" applyFont="1"/>
    <xf numFmtId="4" fontId="19" fillId="0" borderId="1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4" fontId="21" fillId="0" borderId="1" xfId="0" applyNumberFormat="1" applyFont="1" applyFill="1" applyBorder="1" applyAlignment="1">
      <alignment vertical="center" wrapText="1"/>
    </xf>
    <xf numFmtId="3" fontId="3" fillId="0" borderId="0" xfId="0" applyNumberFormat="1" applyFont="1" applyFill="1"/>
    <xf numFmtId="3" fontId="23" fillId="0" borderId="1" xfId="0" applyNumberFormat="1" applyFont="1" applyFill="1" applyBorder="1" applyAlignment="1">
      <alignment horizontal="right" vertical="center" wrapText="1"/>
    </xf>
    <xf numFmtId="4" fontId="19" fillId="0" borderId="1" xfId="0" applyNumberFormat="1" applyFont="1" applyFill="1" applyBorder="1" applyAlignment="1">
      <alignment vertical="center" wrapText="1"/>
    </xf>
    <xf numFmtId="0" fontId="10" fillId="0" borderId="0" xfId="0" applyFont="1" applyFill="1"/>
    <xf numFmtId="3" fontId="21" fillId="0" borderId="1" xfId="0" applyNumberFormat="1" applyFont="1" applyFill="1" applyBorder="1" applyAlignment="1">
      <alignment vertical="center" wrapText="1"/>
    </xf>
    <xf numFmtId="0" fontId="3" fillId="0" borderId="0" xfId="0" applyFont="1"/>
    <xf numFmtId="4" fontId="19" fillId="2" borderId="1" xfId="0" applyNumberFormat="1" applyFont="1" applyFill="1" applyBorder="1" applyAlignment="1">
      <alignment vertical="center" wrapText="1"/>
    </xf>
    <xf numFmtId="3" fontId="19" fillId="2" borderId="1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4" fillId="5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3" fontId="19" fillId="2" borderId="1" xfId="0" applyNumberFormat="1" applyFont="1" applyFill="1" applyBorder="1" applyAlignment="1">
      <alignment vertical="center" wrapText="1"/>
    </xf>
    <xf numFmtId="0" fontId="11" fillId="3" borderId="2" xfId="0" applyFont="1" applyFill="1" applyBorder="1" applyAlignment="1">
      <alignment wrapText="1"/>
    </xf>
    <xf numFmtId="0" fontId="3" fillId="0" borderId="0" xfId="0" applyFont="1"/>
    <xf numFmtId="4" fontId="19" fillId="2" borderId="3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 wrapText="1"/>
    </xf>
    <xf numFmtId="3" fontId="19" fillId="2" borderId="3" xfId="0" applyNumberFormat="1" applyFont="1" applyFill="1" applyBorder="1" applyAlignment="1">
      <alignment vertical="center" wrapText="1"/>
    </xf>
    <xf numFmtId="3" fontId="19" fillId="2" borderId="1" xfId="0" applyNumberFormat="1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4" fontId="19" fillId="0" borderId="2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2" borderId="1" xfId="0" quotePrefix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 wrapText="1"/>
    </xf>
    <xf numFmtId="3" fontId="12" fillId="7" borderId="1" xfId="0" applyNumberFormat="1" applyFont="1" applyFill="1" applyBorder="1" applyAlignment="1">
      <alignment vertical="center" wrapText="1"/>
    </xf>
    <xf numFmtId="0" fontId="12" fillId="7" borderId="3" xfId="0" applyFont="1" applyFill="1" applyBorder="1" applyAlignment="1">
      <alignment vertical="center" wrapText="1"/>
    </xf>
    <xf numFmtId="0" fontId="35" fillId="0" borderId="2" xfId="0" applyFont="1" applyFill="1" applyBorder="1" applyAlignment="1">
      <alignment vertical="center" wrapText="1"/>
    </xf>
    <xf numFmtId="0" fontId="35" fillId="0" borderId="3" xfId="0" applyFont="1" applyFill="1" applyBorder="1" applyAlignment="1">
      <alignment vertical="center" wrapText="1"/>
    </xf>
    <xf numFmtId="3" fontId="12" fillId="0" borderId="2" xfId="0" applyNumberFormat="1" applyFont="1" applyFill="1" applyBorder="1" applyAlignment="1">
      <alignment vertical="center" wrapText="1"/>
    </xf>
    <xf numFmtId="3" fontId="12" fillId="0" borderId="3" xfId="0" applyNumberFormat="1" applyFont="1" applyFill="1" applyBorder="1" applyAlignment="1">
      <alignment vertical="center" wrapText="1"/>
    </xf>
    <xf numFmtId="3" fontId="12" fillId="3" borderId="2" xfId="0" applyNumberFormat="1" applyFont="1" applyFill="1" applyBorder="1" applyAlignment="1">
      <alignment vertical="center" wrapText="1"/>
    </xf>
    <xf numFmtId="3" fontId="12" fillId="3" borderId="3" xfId="0" applyNumberFormat="1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vertical="center" wrapText="1"/>
    </xf>
    <xf numFmtId="0" fontId="32" fillId="0" borderId="6" xfId="0" applyFont="1" applyFill="1" applyBorder="1" applyAlignment="1">
      <alignment vertical="center" wrapText="1"/>
    </xf>
    <xf numFmtId="0" fontId="32" fillId="0" borderId="4" xfId="0" applyFont="1" applyFill="1" applyBorder="1" applyAlignment="1">
      <alignment vertical="center" wrapText="1"/>
    </xf>
    <xf numFmtId="0" fontId="32" fillId="0" borderId="5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31" fillId="2" borderId="6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31" fillId="2" borderId="5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</cellXfs>
  <cellStyles count="3">
    <cellStyle name="Normalny" xfId="0" builtinId="0"/>
    <cellStyle name="Normalny 6 2" xfId="2"/>
    <cellStyle name="Procentowy" xfId="1" builtinId="5"/>
  </cellStyles>
  <dxfs count="0"/>
  <tableStyles count="0" defaultTableStyle="TableStyleMedium2" defaultPivotStyle="PivotStyleLight16"/>
  <colors>
    <mruColors>
      <color rgb="FFEDE8DB"/>
      <color rgb="FFFF99FF"/>
      <color rgb="FF66FF99"/>
      <color rgb="FFCDE6FF"/>
      <color rgb="FF92D050"/>
      <color rgb="FF000066"/>
      <color rgb="FFFBFAF7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59"/>
  <sheetViews>
    <sheetView tabSelected="1" workbookViewId="0">
      <pane xSplit="9" ySplit="8" topLeftCell="T9" activePane="bottomRight" state="frozen"/>
      <selection pane="topRight" activeCell="J1" sqref="J1"/>
      <selection pane="bottomLeft" activeCell="A8" sqref="A8"/>
      <selection pane="bottomRight" activeCell="Z114" sqref="Z114"/>
    </sheetView>
  </sheetViews>
  <sheetFormatPr defaultRowHeight="12.75"/>
  <cols>
    <col min="1" max="4" width="9.140625" style="1"/>
    <col min="5" max="5" width="46.42578125" style="1" customWidth="1"/>
    <col min="6" max="6" width="12.5703125" style="2" hidden="1" customWidth="1"/>
    <col min="7" max="7" width="11.28515625" style="2" hidden="1" customWidth="1"/>
    <col min="8" max="8" width="11.5703125" style="2" hidden="1" customWidth="1"/>
    <col min="9" max="9" width="2.140625" style="2" hidden="1" customWidth="1"/>
    <col min="10" max="10" width="15.140625" style="1" hidden="1" customWidth="1"/>
    <col min="11" max="11" width="15.5703125" style="81" hidden="1" customWidth="1"/>
    <col min="12" max="12" width="15.140625" style="1" hidden="1" customWidth="1"/>
    <col min="13" max="13" width="15.28515625" style="112" hidden="1" customWidth="1"/>
    <col min="14" max="14" width="15" style="124" hidden="1" customWidth="1"/>
    <col min="15" max="15" width="15.42578125" style="1" hidden="1" customWidth="1"/>
    <col min="16" max="16" width="15" style="1" hidden="1" customWidth="1"/>
    <col min="17" max="17" width="15" style="152" hidden="1" customWidth="1"/>
    <col min="18" max="18" width="15" style="227" hidden="1" customWidth="1"/>
    <col min="19" max="19" width="15" style="56" hidden="1" customWidth="1"/>
    <col min="20" max="20" width="14.85546875" style="56" customWidth="1"/>
    <col min="21" max="21" width="14.28515625" style="56" customWidth="1"/>
    <col min="22" max="22" width="14.42578125" style="56" customWidth="1"/>
    <col min="23" max="23" width="13" style="116" customWidth="1"/>
    <col min="24" max="24" width="12.85546875" style="116" customWidth="1"/>
    <col min="25" max="26" width="13.5703125" style="116" customWidth="1"/>
    <col min="27" max="27" width="12.7109375" style="1" bestFit="1" customWidth="1"/>
    <col min="28" max="28" width="15.85546875" style="1" customWidth="1"/>
    <col min="29" max="29" width="14.7109375" style="1" customWidth="1"/>
    <col min="30" max="30" width="11.7109375" style="1" customWidth="1"/>
    <col min="31" max="16384" width="9.140625" style="1"/>
  </cols>
  <sheetData>
    <row r="1" spans="1:27" s="36" customFormat="1">
      <c r="K1" s="81"/>
      <c r="M1" s="112"/>
      <c r="N1" s="124"/>
      <c r="Q1" s="152"/>
      <c r="R1" s="227"/>
      <c r="S1" s="56"/>
      <c r="T1" s="140"/>
      <c r="U1" s="56"/>
      <c r="V1" s="56"/>
      <c r="W1" s="116"/>
      <c r="X1" s="140" t="s">
        <v>112</v>
      </c>
      <c r="Y1" s="116"/>
      <c r="Z1" s="116"/>
    </row>
    <row r="2" spans="1:27" s="36" customFormat="1">
      <c r="E2" s="221"/>
      <c r="K2" s="81"/>
      <c r="M2" s="112"/>
      <c r="N2" s="124"/>
      <c r="Q2" s="152"/>
      <c r="R2" s="227"/>
      <c r="S2" s="56"/>
      <c r="T2" s="141"/>
      <c r="U2" s="177"/>
      <c r="V2" s="147"/>
      <c r="W2" s="116"/>
      <c r="X2" s="141" t="s">
        <v>585</v>
      </c>
      <c r="Y2" s="223"/>
      <c r="Z2" s="116"/>
    </row>
    <row r="3" spans="1:27" ht="15">
      <c r="A3" s="8" t="s">
        <v>115</v>
      </c>
      <c r="T3" s="141"/>
      <c r="U3" s="177"/>
      <c r="V3" s="147"/>
      <c r="X3" s="141" t="s">
        <v>219</v>
      </c>
      <c r="Y3" s="223"/>
    </row>
    <row r="4" spans="1:27">
      <c r="T4" s="141"/>
      <c r="U4" s="177"/>
      <c r="V4" s="147"/>
      <c r="X4" s="141" t="s">
        <v>586</v>
      </c>
      <c r="Y4" s="223"/>
    </row>
    <row r="5" spans="1:27" s="54" customFormat="1">
      <c r="K5" s="81"/>
      <c r="M5" s="112"/>
      <c r="N5" s="124"/>
      <c r="Q5" s="152"/>
      <c r="R5" s="227"/>
      <c r="S5" s="56"/>
      <c r="T5" s="56"/>
      <c r="U5" s="56"/>
      <c r="V5" s="56"/>
      <c r="W5" s="116"/>
      <c r="X5" s="116"/>
      <c r="Y5" s="116"/>
      <c r="Z5" s="116"/>
    </row>
    <row r="6" spans="1:27">
      <c r="E6" s="34"/>
      <c r="F6" s="34"/>
      <c r="G6" s="34"/>
      <c r="H6" s="34"/>
      <c r="I6" s="34"/>
      <c r="J6" s="35"/>
      <c r="K6" s="35"/>
      <c r="L6" s="35"/>
      <c r="M6" s="35"/>
      <c r="N6" s="35"/>
      <c r="O6" s="35"/>
      <c r="P6" s="36"/>
      <c r="Y6" s="214" t="s">
        <v>111</v>
      </c>
    </row>
    <row r="7" spans="1:27" ht="44.25" customHeight="1">
      <c r="A7" s="272" t="s">
        <v>0</v>
      </c>
      <c r="B7" s="273"/>
      <c r="C7" s="273"/>
      <c r="D7" s="274"/>
      <c r="E7" s="275"/>
      <c r="F7" s="61" t="s">
        <v>103</v>
      </c>
      <c r="G7" s="61" t="s">
        <v>104</v>
      </c>
      <c r="H7" s="61" t="s">
        <v>105</v>
      </c>
      <c r="I7" s="61" t="s">
        <v>110</v>
      </c>
      <c r="J7" s="62" t="s">
        <v>116</v>
      </c>
      <c r="K7" s="82" t="s">
        <v>117</v>
      </c>
      <c r="L7" s="113" t="s">
        <v>205</v>
      </c>
      <c r="M7" s="114" t="s">
        <v>206</v>
      </c>
      <c r="N7" s="125" t="s">
        <v>214</v>
      </c>
      <c r="O7" s="114" t="s">
        <v>215</v>
      </c>
      <c r="P7" s="155" t="s">
        <v>217</v>
      </c>
      <c r="Q7" s="114" t="s">
        <v>216</v>
      </c>
      <c r="R7" s="228" t="s">
        <v>500</v>
      </c>
      <c r="S7" s="114" t="s">
        <v>501</v>
      </c>
      <c r="T7" s="62" t="s">
        <v>207</v>
      </c>
      <c r="U7" s="62" t="s">
        <v>208</v>
      </c>
      <c r="V7" s="62" t="s">
        <v>209</v>
      </c>
      <c r="W7" s="117" t="s">
        <v>210</v>
      </c>
      <c r="X7" s="117" t="s">
        <v>211</v>
      </c>
      <c r="Y7" s="117" t="s">
        <v>212</v>
      </c>
      <c r="Z7" s="117" t="s">
        <v>213</v>
      </c>
    </row>
    <row r="8" spans="1:27" s="3" customFormat="1" ht="21.75" customHeight="1">
      <c r="A8" s="63" t="s">
        <v>147</v>
      </c>
      <c r="B8" s="63"/>
      <c r="C8" s="64"/>
      <c r="D8" s="268"/>
      <c r="E8" s="269"/>
      <c r="F8" s="65">
        <f t="shared" ref="F8:K8" si="0">F9+F17</f>
        <v>344742918</v>
      </c>
      <c r="G8" s="65">
        <f t="shared" si="0"/>
        <v>370590936</v>
      </c>
      <c r="H8" s="65">
        <f t="shared" si="0"/>
        <v>395074930</v>
      </c>
      <c r="I8" s="65">
        <f t="shared" si="0"/>
        <v>359287065.69</v>
      </c>
      <c r="J8" s="127">
        <f t="shared" si="0"/>
        <v>417945156</v>
      </c>
      <c r="K8" s="127">
        <f t="shared" si="0"/>
        <v>394190910</v>
      </c>
      <c r="L8" s="127">
        <f t="shared" ref="L8:V8" si="1">L9+L17</f>
        <v>376922057</v>
      </c>
      <c r="M8" s="127">
        <f>M9+M17</f>
        <v>332911056</v>
      </c>
      <c r="N8" s="127">
        <f t="shared" ref="N8" si="2">N9+N17</f>
        <v>366123713</v>
      </c>
      <c r="O8" s="127">
        <f t="shared" si="1"/>
        <v>377844808.73000002</v>
      </c>
      <c r="P8" s="127">
        <f t="shared" si="1"/>
        <v>402670607.25999999</v>
      </c>
      <c r="Q8" s="127">
        <f t="shared" ref="Q8:R8" si="3">Q9+Q17</f>
        <v>440774504.63</v>
      </c>
      <c r="R8" s="127">
        <f t="shared" si="3"/>
        <v>406202483.68000001</v>
      </c>
      <c r="S8" s="127">
        <f t="shared" si="1"/>
        <v>409504760.94</v>
      </c>
      <c r="T8" s="66">
        <f t="shared" si="1"/>
        <v>431173432</v>
      </c>
      <c r="U8" s="66">
        <f t="shared" si="1"/>
        <v>423058165</v>
      </c>
      <c r="V8" s="66">
        <f t="shared" si="1"/>
        <v>416286308</v>
      </c>
      <c r="W8" s="66">
        <f>W9+W17</f>
        <v>417131992</v>
      </c>
      <c r="X8" s="66">
        <f>X9+X17</f>
        <v>417131992</v>
      </c>
      <c r="Y8" s="66">
        <f>Y9+Y17</f>
        <v>417131992</v>
      </c>
      <c r="Z8" s="66">
        <f>Z9+Z17</f>
        <v>417131992</v>
      </c>
    </row>
    <row r="9" spans="1:27" s="4" customFormat="1" ht="20.25" customHeight="1">
      <c r="A9" s="9" t="s">
        <v>1</v>
      </c>
      <c r="B9" s="257" t="s">
        <v>148</v>
      </c>
      <c r="C9" s="257"/>
      <c r="D9" s="257"/>
      <c r="E9" s="257"/>
      <c r="F9" s="12">
        <v>323769383</v>
      </c>
      <c r="G9" s="12">
        <v>342968699</v>
      </c>
      <c r="H9" s="12">
        <v>308364108</v>
      </c>
      <c r="I9" s="12">
        <v>315250816.94</v>
      </c>
      <c r="J9" s="143">
        <v>330201229</v>
      </c>
      <c r="K9" s="143">
        <v>340744204</v>
      </c>
      <c r="L9" s="143">
        <v>333469485</v>
      </c>
      <c r="M9" s="143">
        <v>291332910</v>
      </c>
      <c r="N9" s="143">
        <v>335610624</v>
      </c>
      <c r="O9" s="143">
        <v>343759508.56</v>
      </c>
      <c r="P9" s="143">
        <v>391836323.38</v>
      </c>
      <c r="Q9" s="143">
        <v>418514563.19999999</v>
      </c>
      <c r="R9" s="217">
        <v>399069673.80000001</v>
      </c>
      <c r="S9" s="217">
        <v>406060921.06</v>
      </c>
      <c r="T9" s="222">
        <v>412457079</v>
      </c>
      <c r="U9" s="222">
        <v>415892565</v>
      </c>
      <c r="V9" s="222">
        <v>416286308</v>
      </c>
      <c r="W9" s="222">
        <v>417131992</v>
      </c>
      <c r="X9" s="222">
        <f>W9</f>
        <v>417131992</v>
      </c>
      <c r="Y9" s="222">
        <f>X9</f>
        <v>417131992</v>
      </c>
      <c r="Z9" s="222">
        <f>Y9</f>
        <v>417131992</v>
      </c>
    </row>
    <row r="10" spans="1:27" ht="14.25">
      <c r="A10" s="242" t="s">
        <v>2</v>
      </c>
      <c r="B10" s="242"/>
      <c r="C10" s="242"/>
      <c r="D10" s="242"/>
      <c r="E10" s="242"/>
      <c r="F10" s="13"/>
      <c r="G10" s="13"/>
      <c r="H10" s="13"/>
      <c r="I10" s="13"/>
      <c r="J10" s="265"/>
      <c r="K10" s="265"/>
      <c r="L10" s="265"/>
      <c r="M10" s="265"/>
      <c r="N10" s="265"/>
      <c r="O10" s="265"/>
      <c r="P10" s="265"/>
      <c r="Q10" s="156"/>
      <c r="R10" s="169"/>
      <c r="S10" s="169"/>
      <c r="T10" s="218"/>
      <c r="U10" s="218"/>
      <c r="V10" s="218"/>
      <c r="W10" s="218"/>
      <c r="X10" s="218"/>
      <c r="Y10" s="218"/>
      <c r="Z10" s="218"/>
    </row>
    <row r="11" spans="1:27" ht="24" customHeight="1">
      <c r="A11" s="10" t="s">
        <v>3</v>
      </c>
      <c r="B11" s="256"/>
      <c r="C11" s="256"/>
      <c r="D11" s="242" t="s">
        <v>4</v>
      </c>
      <c r="E11" s="242"/>
      <c r="F11" s="13">
        <v>69201902</v>
      </c>
      <c r="G11" s="13">
        <v>75371773</v>
      </c>
      <c r="H11" s="13">
        <v>81700000</v>
      </c>
      <c r="I11" s="13">
        <v>80300706</v>
      </c>
      <c r="J11" s="148">
        <v>83500000</v>
      </c>
      <c r="K11" s="148">
        <v>86912650</v>
      </c>
      <c r="L11" s="148">
        <v>90500000</v>
      </c>
      <c r="M11" s="148">
        <v>96320053</v>
      </c>
      <c r="N11" s="148">
        <v>93000000</v>
      </c>
      <c r="O11" s="148">
        <v>103255693</v>
      </c>
      <c r="P11" s="148">
        <v>93000000</v>
      </c>
      <c r="Q11" s="151">
        <v>105228310</v>
      </c>
      <c r="R11" s="226">
        <v>102334476</v>
      </c>
      <c r="S11" s="215">
        <v>102334476</v>
      </c>
      <c r="T11" s="121">
        <v>107000000</v>
      </c>
      <c r="U11" s="121">
        <f t="shared" ref="U11:V11" si="4">T11</f>
        <v>107000000</v>
      </c>
      <c r="V11" s="121">
        <f t="shared" si="4"/>
        <v>107000000</v>
      </c>
      <c r="W11" s="121">
        <f t="shared" ref="W11:W12" si="5">V11</f>
        <v>107000000</v>
      </c>
      <c r="X11" s="121">
        <f t="shared" ref="X11:Z12" si="6">W11</f>
        <v>107000000</v>
      </c>
      <c r="Y11" s="121">
        <f t="shared" si="6"/>
        <v>107000000</v>
      </c>
      <c r="Z11" s="121">
        <f t="shared" si="6"/>
        <v>107000000</v>
      </c>
    </row>
    <row r="12" spans="1:27" ht="24.75" customHeight="1">
      <c r="A12" s="10" t="s">
        <v>5</v>
      </c>
      <c r="B12" s="256"/>
      <c r="C12" s="256"/>
      <c r="D12" s="242" t="s">
        <v>6</v>
      </c>
      <c r="E12" s="242"/>
      <c r="F12" s="13">
        <v>14114281</v>
      </c>
      <c r="G12" s="13">
        <v>22590433</v>
      </c>
      <c r="H12" s="13">
        <v>9200000</v>
      </c>
      <c r="I12" s="13">
        <v>11233456.439999999</v>
      </c>
      <c r="J12" s="148">
        <v>7100000</v>
      </c>
      <c r="K12" s="148">
        <v>4951059</v>
      </c>
      <c r="L12" s="148">
        <v>2900000</v>
      </c>
      <c r="M12" s="148">
        <v>1748013</v>
      </c>
      <c r="N12" s="148">
        <v>2400000</v>
      </c>
      <c r="O12" s="148">
        <v>3254681.52</v>
      </c>
      <c r="P12" s="148">
        <f>2000000-1000000</f>
        <v>1000000</v>
      </c>
      <c r="Q12" s="151">
        <v>591091.23</v>
      </c>
      <c r="R12" s="226">
        <v>2000000</v>
      </c>
      <c r="S12" s="215">
        <v>2000000</v>
      </c>
      <c r="T12" s="121">
        <v>4000000</v>
      </c>
      <c r="U12" s="121">
        <v>8000000</v>
      </c>
      <c r="V12" s="121">
        <v>4000000</v>
      </c>
      <c r="W12" s="121">
        <f t="shared" si="5"/>
        <v>4000000</v>
      </c>
      <c r="X12" s="121">
        <f t="shared" si="6"/>
        <v>4000000</v>
      </c>
      <c r="Y12" s="121">
        <f t="shared" si="6"/>
        <v>4000000</v>
      </c>
      <c r="Z12" s="121">
        <f t="shared" si="6"/>
        <v>4000000</v>
      </c>
    </row>
    <row r="13" spans="1:27" ht="14.25">
      <c r="A13" s="10" t="s">
        <v>7</v>
      </c>
      <c r="B13" s="256"/>
      <c r="C13" s="256"/>
      <c r="D13" s="266" t="s">
        <v>146</v>
      </c>
      <c r="E13" s="266"/>
      <c r="F13" s="15"/>
      <c r="G13" s="15"/>
      <c r="H13" s="15"/>
      <c r="I13" s="15"/>
      <c r="J13" s="148">
        <v>63189443</v>
      </c>
      <c r="K13" s="139">
        <v>69190854</v>
      </c>
      <c r="L13" s="148">
        <v>77782170</v>
      </c>
      <c r="M13" s="148">
        <v>44433905</v>
      </c>
      <c r="N13" s="148">
        <v>77617707</v>
      </c>
      <c r="O13" s="148">
        <v>75068010.060000002</v>
      </c>
      <c r="P13" s="139">
        <v>83262297</v>
      </c>
      <c r="Q13" s="139">
        <v>94362696.269999996</v>
      </c>
      <c r="R13" s="139">
        <v>83015074</v>
      </c>
      <c r="S13" s="139">
        <v>83015074</v>
      </c>
      <c r="T13" s="122">
        <v>87989649</v>
      </c>
      <c r="U13" s="122">
        <v>89053958</v>
      </c>
      <c r="V13" s="122">
        <v>89691221</v>
      </c>
      <c r="W13" s="122">
        <v>90368556</v>
      </c>
      <c r="X13" s="122">
        <f t="shared" ref="X13:Z16" si="7">W13</f>
        <v>90368556</v>
      </c>
      <c r="Y13" s="122">
        <f t="shared" si="7"/>
        <v>90368556</v>
      </c>
      <c r="Z13" s="122">
        <f t="shared" si="7"/>
        <v>90368556</v>
      </c>
    </row>
    <row r="14" spans="1:27" ht="13.5" customHeight="1">
      <c r="A14" s="10" t="s">
        <v>8</v>
      </c>
      <c r="B14" s="22"/>
      <c r="C14" s="24"/>
      <c r="D14" s="216"/>
      <c r="E14" s="213" t="s">
        <v>9</v>
      </c>
      <c r="F14" s="13">
        <v>45567256.43</v>
      </c>
      <c r="G14" s="13">
        <v>54543616.890000001</v>
      </c>
      <c r="H14" s="13">
        <v>38305644</v>
      </c>
      <c r="I14" s="13">
        <v>39876296.920000002</v>
      </c>
      <c r="J14" s="148">
        <v>41256000</v>
      </c>
      <c r="K14" s="148">
        <v>41782658</v>
      </c>
      <c r="L14" s="148">
        <f>42622000+65922</f>
        <v>42687922</v>
      </c>
      <c r="M14" s="139">
        <v>11581365</v>
      </c>
      <c r="N14" s="148">
        <f>43310000+73000</f>
        <v>43383000</v>
      </c>
      <c r="O14" s="148">
        <v>39649739.609999999</v>
      </c>
      <c r="P14" s="148">
        <f>46049000+1301000</f>
        <v>47350000</v>
      </c>
      <c r="Q14" s="151">
        <v>58782010.880000003</v>
      </c>
      <c r="R14" s="226">
        <v>47840000</v>
      </c>
      <c r="S14" s="215">
        <v>47840000</v>
      </c>
      <c r="T14" s="122">
        <v>52691000</v>
      </c>
      <c r="U14" s="122">
        <f>T14*101.15%</f>
        <v>53296946.5</v>
      </c>
      <c r="V14" s="122">
        <f>U14*101.25%</f>
        <v>53963158.331249997</v>
      </c>
      <c r="W14" s="122">
        <f>V14*101.25%</f>
        <v>54637697.810390621</v>
      </c>
      <c r="X14" s="121">
        <f t="shared" si="7"/>
        <v>54637697.810390621</v>
      </c>
      <c r="Y14" s="121">
        <f t="shared" si="7"/>
        <v>54637697.810390621</v>
      </c>
      <c r="Z14" s="121">
        <f t="shared" si="7"/>
        <v>54637697.810390621</v>
      </c>
    </row>
    <row r="15" spans="1:27" ht="14.25">
      <c r="A15" s="10" t="s">
        <v>10</v>
      </c>
      <c r="B15" s="256"/>
      <c r="C15" s="256"/>
      <c r="D15" s="243" t="s">
        <v>11</v>
      </c>
      <c r="E15" s="243"/>
      <c r="F15" s="13">
        <f>80657855+2678202</f>
        <v>83336057</v>
      </c>
      <c r="G15" s="13">
        <f>87726973+3271409</f>
        <v>90998382</v>
      </c>
      <c r="H15" s="13">
        <f>93530114+3779501</f>
        <v>97309615</v>
      </c>
      <c r="I15" s="13">
        <v>98554948</v>
      </c>
      <c r="J15" s="148">
        <f>92838465+5225234</f>
        <v>98063699</v>
      </c>
      <c r="K15" s="148">
        <f>92838465+5225234</f>
        <v>98063699</v>
      </c>
      <c r="L15" s="148">
        <f>92661563+3615603+195200</f>
        <v>96472366</v>
      </c>
      <c r="M15" s="148">
        <f>92777464+3615603+195200</f>
        <v>96588267</v>
      </c>
      <c r="N15" s="148">
        <f>95564745+3274402+146915</f>
        <v>98986062</v>
      </c>
      <c r="O15" s="148">
        <f>95773773+3274402+1599890</f>
        <v>100648065</v>
      </c>
      <c r="P15" s="148">
        <f>94921331+4058358+15115894+195317</f>
        <v>114290900</v>
      </c>
      <c r="Q15" s="151">
        <v>114745809</v>
      </c>
      <c r="R15" s="226">
        <f>94246569+4809775+332600</f>
        <v>99388944</v>
      </c>
      <c r="S15" s="229">
        <f>94246569+4809775+332600</f>
        <v>99388944</v>
      </c>
      <c r="T15" s="121">
        <f>95596391+5151902</f>
        <v>100748293</v>
      </c>
      <c r="U15" s="121">
        <f>95005775+5151902</f>
        <v>100157677</v>
      </c>
      <c r="V15" s="121">
        <f>98789293+5151902</f>
        <v>103941195</v>
      </c>
      <c r="W15" s="121">
        <f>99723376+5151902</f>
        <v>104875278</v>
      </c>
      <c r="X15" s="121">
        <f t="shared" si="7"/>
        <v>104875278</v>
      </c>
      <c r="Y15" s="121">
        <f t="shared" si="7"/>
        <v>104875278</v>
      </c>
      <c r="Z15" s="121">
        <f t="shared" si="7"/>
        <v>104875278</v>
      </c>
      <c r="AA15" s="42"/>
    </row>
    <row r="16" spans="1:27" ht="21" customHeight="1">
      <c r="A16" s="10" t="s">
        <v>12</v>
      </c>
      <c r="B16" s="256"/>
      <c r="C16" s="256"/>
      <c r="D16" s="242" t="s">
        <v>13</v>
      </c>
      <c r="E16" s="242"/>
      <c r="F16" s="13">
        <v>31772938.27</v>
      </c>
      <c r="G16" s="13">
        <v>31805271.109999999</v>
      </c>
      <c r="H16" s="13">
        <v>33424639</v>
      </c>
      <c r="I16" s="13">
        <v>32916832.960000001</v>
      </c>
      <c r="J16" s="139">
        <f>4690745+266060+5132034+24570810-7131</f>
        <v>34652518</v>
      </c>
      <c r="K16" s="139">
        <f>36332878.08-7272</f>
        <v>36325606.079999998</v>
      </c>
      <c r="L16" s="148">
        <f>3818158+326500+8534227+24004513-7482</f>
        <v>36675916</v>
      </c>
      <c r="M16" s="148">
        <f>387534+3887905+487091+9536607+27339201-7448</f>
        <v>41630890</v>
      </c>
      <c r="N16" s="148">
        <f>441473+1773741+386958+8794633+27678944-7510</f>
        <v>39068239</v>
      </c>
      <c r="O16" s="148">
        <f>410563.06+2299749.27+582281.61+9932809.75+28513140.12</f>
        <v>41738543.810000002</v>
      </c>
      <c r="P16" s="148">
        <f>369471+2445187+619795+9251423.66+55946003.72-7510</f>
        <v>68624370.379999995</v>
      </c>
      <c r="Q16" s="151">
        <f>320502.79+2733327.17+850591.31+9854581.55+66131828.07-7529</f>
        <v>79883301.890000001</v>
      </c>
      <c r="R16" s="139">
        <f>320270+2245058+478723+8240729.83+91018.25+72148476.72-7550</f>
        <v>83516725.799999997</v>
      </c>
      <c r="S16" s="139">
        <f>320270+2628811+542217.32+8975403.51+91018.25+77946460.98+4320-7550</f>
        <v>90500951.060000002</v>
      </c>
      <c r="T16" s="122">
        <f>307771+2697853+497882+7209152+10000+76195853-7550</f>
        <v>86910961</v>
      </c>
      <c r="U16" s="122">
        <f>307771+1689537+503608+7162539+10115+76195853-7550</f>
        <v>85861873</v>
      </c>
      <c r="V16" s="122">
        <f>307771+1223598+509903+7228372+10241+76195853-7550</f>
        <v>85468188</v>
      </c>
      <c r="W16" s="122">
        <f>307771+516277+7303922+10369+76195853-7550</f>
        <v>84326642</v>
      </c>
      <c r="X16" s="48">
        <f t="shared" si="7"/>
        <v>84326642</v>
      </c>
      <c r="Y16" s="48">
        <f t="shared" si="7"/>
        <v>84326642</v>
      </c>
      <c r="Z16" s="48">
        <f t="shared" si="7"/>
        <v>84326642</v>
      </c>
    </row>
    <row r="17" spans="1:28" s="4" customFormat="1" ht="25.5" customHeight="1">
      <c r="A17" s="9" t="s">
        <v>14</v>
      </c>
      <c r="B17" s="257" t="s">
        <v>149</v>
      </c>
      <c r="C17" s="257"/>
      <c r="D17" s="257"/>
      <c r="E17" s="257"/>
      <c r="F17" s="12">
        <v>20973535</v>
      </c>
      <c r="G17" s="12">
        <v>27622237</v>
      </c>
      <c r="H17" s="12">
        <v>86710822</v>
      </c>
      <c r="I17" s="12">
        <v>44036248.75</v>
      </c>
      <c r="J17" s="143">
        <v>87743927</v>
      </c>
      <c r="K17" s="143">
        <v>53446706</v>
      </c>
      <c r="L17" s="143">
        <v>43452572</v>
      </c>
      <c r="M17" s="143">
        <v>41578146</v>
      </c>
      <c r="N17" s="143">
        <v>30513089</v>
      </c>
      <c r="O17" s="143">
        <v>34085300.170000002</v>
      </c>
      <c r="P17" s="143">
        <v>10834283.880000001</v>
      </c>
      <c r="Q17" s="143">
        <v>22259941.43</v>
      </c>
      <c r="R17" s="143">
        <v>7132809.8799999999</v>
      </c>
      <c r="S17" s="143">
        <v>3443839.88</v>
      </c>
      <c r="T17" s="145">
        <v>18716353</v>
      </c>
      <c r="U17" s="145">
        <v>7165600</v>
      </c>
      <c r="V17" s="145">
        <v>0</v>
      </c>
      <c r="W17" s="43">
        <v>0</v>
      </c>
      <c r="X17" s="43">
        <v>0</v>
      </c>
      <c r="Y17" s="43">
        <v>0</v>
      </c>
      <c r="Z17" s="43">
        <v>0</v>
      </c>
      <c r="AA17" s="119"/>
    </row>
    <row r="18" spans="1:28" ht="14.25">
      <c r="A18" s="242" t="s">
        <v>2</v>
      </c>
      <c r="B18" s="242"/>
      <c r="C18" s="242"/>
      <c r="D18" s="242"/>
      <c r="E18" s="242"/>
      <c r="F18" s="13"/>
      <c r="G18" s="13"/>
      <c r="H18" s="13"/>
      <c r="I18" s="13"/>
      <c r="J18" s="146"/>
      <c r="K18" s="146"/>
      <c r="L18" s="148"/>
      <c r="M18" s="148"/>
      <c r="N18" s="148"/>
      <c r="O18" s="148"/>
      <c r="P18" s="148"/>
      <c r="Q18" s="151"/>
      <c r="R18" s="224"/>
      <c r="S18" s="168"/>
      <c r="T18" s="126"/>
      <c r="U18" s="126"/>
      <c r="V18" s="126"/>
      <c r="W18" s="126"/>
      <c r="X18" s="126"/>
      <c r="Y18" s="126"/>
      <c r="Z18" s="126"/>
      <c r="AA18" s="42"/>
    </row>
    <row r="19" spans="1:28" ht="14.25">
      <c r="A19" s="10" t="s">
        <v>15</v>
      </c>
      <c r="B19" s="256"/>
      <c r="C19" s="256"/>
      <c r="D19" s="242" t="s">
        <v>150</v>
      </c>
      <c r="E19" s="242"/>
      <c r="F19" s="13">
        <v>3433132</v>
      </c>
      <c r="G19" s="13">
        <v>1840403</v>
      </c>
      <c r="H19" s="13">
        <v>8147209</v>
      </c>
      <c r="I19" s="13">
        <v>3148189.4</v>
      </c>
      <c r="J19" s="148">
        <f>3993185+250733</f>
        <v>4243918</v>
      </c>
      <c r="K19" s="148">
        <v>1320784</v>
      </c>
      <c r="L19" s="148">
        <v>2907784</v>
      </c>
      <c r="M19" s="148">
        <v>1392262</v>
      </c>
      <c r="N19" s="148">
        <v>3337492</v>
      </c>
      <c r="O19" s="148">
        <v>833151.94</v>
      </c>
      <c r="P19" s="139">
        <f>1721970</f>
        <v>1721970</v>
      </c>
      <c r="Q19" s="139">
        <v>1888591.18</v>
      </c>
      <c r="R19" s="224">
        <f>2509150+378291</f>
        <v>2887441</v>
      </c>
      <c r="S19" s="168">
        <f>2509150+378291+1495-720790</f>
        <v>2168146</v>
      </c>
      <c r="T19" s="126">
        <v>2952091</v>
      </c>
      <c r="U19" s="126">
        <v>0</v>
      </c>
      <c r="V19" s="126">
        <v>0</v>
      </c>
      <c r="W19" s="126">
        <v>0</v>
      </c>
      <c r="X19" s="126">
        <v>0</v>
      </c>
      <c r="Y19" s="126">
        <v>0</v>
      </c>
      <c r="Z19" s="126">
        <v>0</v>
      </c>
      <c r="AA19" s="138"/>
      <c r="AB19" s="138"/>
    </row>
    <row r="20" spans="1:28" ht="21" customHeight="1">
      <c r="A20" s="10" t="s">
        <v>16</v>
      </c>
      <c r="B20" s="256"/>
      <c r="C20" s="256"/>
      <c r="D20" s="242" t="s">
        <v>17</v>
      </c>
      <c r="E20" s="242"/>
      <c r="F20" s="13"/>
      <c r="G20" s="13"/>
      <c r="H20" s="13">
        <f>77787540+505694</f>
        <v>78293234</v>
      </c>
      <c r="I20" s="13">
        <v>40070754.759999998</v>
      </c>
      <c r="J20" s="148">
        <f>92264402-10061915+230900+200000+199985</f>
        <v>82833372</v>
      </c>
      <c r="K20" s="148">
        <f>2035998+200000+49106007</f>
        <v>51342005</v>
      </c>
      <c r="L20" s="148">
        <f>38849868+774250+90972</f>
        <v>39715090</v>
      </c>
      <c r="M20" s="148">
        <f>39002272+769895+230034</f>
        <v>40002201</v>
      </c>
      <c r="N20" s="148">
        <f>17392429+315934+9259661+1573+6000</f>
        <v>26975597</v>
      </c>
      <c r="O20" s="148">
        <f>30937500.86+1871231.86+297483.67</f>
        <v>33106216.390000001</v>
      </c>
      <c r="P20" s="139">
        <v>9018341.8800000008</v>
      </c>
      <c r="Q20" s="139">
        <v>20222348.100000001</v>
      </c>
      <c r="R20" s="226">
        <f>1622590+85000+70000+7233+2000000+4590-186538+123733+137091+211915+26494.88</f>
        <v>4102108.88</v>
      </c>
      <c r="S20" s="215">
        <f>1622590+85000+70000+7233+2000000+4590-186538+123733+137091+211915+26494.88-2969675</f>
        <v>1132433.8799999999</v>
      </c>
      <c r="T20" s="126">
        <v>15717208</v>
      </c>
      <c r="U20" s="126">
        <v>7165600</v>
      </c>
      <c r="V20" s="126">
        <v>0</v>
      </c>
      <c r="W20" s="126">
        <v>0</v>
      </c>
      <c r="X20" s="126">
        <v>0</v>
      </c>
      <c r="Y20" s="126">
        <v>0</v>
      </c>
      <c r="Z20" s="126">
        <v>0</v>
      </c>
      <c r="AA20" s="138"/>
      <c r="AB20" s="42"/>
    </row>
    <row r="21" spans="1:28" s="3" customFormat="1" ht="21.75" customHeight="1">
      <c r="A21" s="63" t="s">
        <v>151</v>
      </c>
      <c r="B21" s="63"/>
      <c r="C21" s="64"/>
      <c r="D21" s="268"/>
      <c r="E21" s="269"/>
      <c r="F21" s="65">
        <f t="shared" ref="F21:V21" si="8">F22+F33</f>
        <v>334911595</v>
      </c>
      <c r="G21" s="65">
        <f t="shared" si="8"/>
        <v>335976613</v>
      </c>
      <c r="H21" s="65">
        <f t="shared" si="8"/>
        <v>476590039</v>
      </c>
      <c r="I21" s="65">
        <f t="shared" si="8"/>
        <v>352361062.87</v>
      </c>
      <c r="J21" s="127">
        <f t="shared" si="8"/>
        <v>489741467</v>
      </c>
      <c r="K21" s="127">
        <f t="shared" si="8"/>
        <v>461761240</v>
      </c>
      <c r="L21" s="127">
        <f t="shared" si="8"/>
        <v>410523427</v>
      </c>
      <c r="M21" s="127">
        <f>M22+M33</f>
        <v>383559079</v>
      </c>
      <c r="N21" s="127">
        <f t="shared" ref="N21" si="9">N22+N33</f>
        <v>366640666</v>
      </c>
      <c r="O21" s="127">
        <f t="shared" si="8"/>
        <v>357910719.15999997</v>
      </c>
      <c r="P21" s="127">
        <f>P22+P33</f>
        <v>404537375.72000003</v>
      </c>
      <c r="Q21" s="127">
        <f>Q22+Q33</f>
        <v>385322882.00999999</v>
      </c>
      <c r="R21" s="127">
        <f t="shared" ref="R21" si="10">R22+R33</f>
        <v>426460056.97000003</v>
      </c>
      <c r="S21" s="127">
        <f t="shared" si="8"/>
        <v>426822978.23000002</v>
      </c>
      <c r="T21" s="66">
        <f t="shared" si="8"/>
        <v>485888301</v>
      </c>
      <c r="U21" s="66">
        <f t="shared" si="8"/>
        <v>436990479</v>
      </c>
      <c r="V21" s="66">
        <f t="shared" si="8"/>
        <v>416704544</v>
      </c>
      <c r="W21" s="66">
        <f>W22+W33</f>
        <v>412966773</v>
      </c>
      <c r="X21" s="66">
        <f>X22+X33</f>
        <v>412732773</v>
      </c>
      <c r="Y21" s="66">
        <f>Y22+Y33</f>
        <v>412492773</v>
      </c>
      <c r="Z21" s="66">
        <f>Z22+Z33</f>
        <v>412246773</v>
      </c>
      <c r="AA21" s="157"/>
    </row>
    <row r="22" spans="1:28" s="4" customFormat="1" ht="24.75" customHeight="1">
      <c r="A22" s="9" t="s">
        <v>18</v>
      </c>
      <c r="B22" s="257" t="s">
        <v>152</v>
      </c>
      <c r="C22" s="257"/>
      <c r="D22" s="257"/>
      <c r="E22" s="257"/>
      <c r="F22" s="12">
        <v>259694673</v>
      </c>
      <c r="G22" s="12">
        <v>269952678</v>
      </c>
      <c r="H22" s="12">
        <v>296857146</v>
      </c>
      <c r="I22" s="12">
        <v>284316537.25</v>
      </c>
      <c r="J22" s="143">
        <v>312676094</v>
      </c>
      <c r="K22" s="143">
        <v>299497121</v>
      </c>
      <c r="L22" s="143">
        <v>319826790</v>
      </c>
      <c r="M22" s="143">
        <v>311515588</v>
      </c>
      <c r="N22" s="143">
        <v>325938206</v>
      </c>
      <c r="O22" s="143">
        <v>316656787.39999998</v>
      </c>
      <c r="P22" s="143">
        <v>369507723.72000003</v>
      </c>
      <c r="Q22" s="143">
        <v>359597950.19999999</v>
      </c>
      <c r="R22" s="143">
        <v>387412409.97000003</v>
      </c>
      <c r="S22" s="143">
        <v>393667222.23000002</v>
      </c>
      <c r="T22" s="145">
        <v>404330027</v>
      </c>
      <c r="U22" s="145">
        <v>408001729</v>
      </c>
      <c r="V22" s="145">
        <v>409779638</v>
      </c>
      <c r="W22" s="145">
        <v>410541867</v>
      </c>
      <c r="X22" s="145">
        <v>410307867</v>
      </c>
      <c r="Y22" s="145">
        <v>410067867</v>
      </c>
      <c r="Z22" s="145">
        <v>409821867</v>
      </c>
      <c r="AA22" s="158"/>
    </row>
    <row r="23" spans="1:28" ht="15">
      <c r="A23" s="11"/>
      <c r="B23" s="11"/>
      <c r="C23" s="242" t="s">
        <v>2</v>
      </c>
      <c r="D23" s="242"/>
      <c r="E23" s="242"/>
      <c r="F23" s="13"/>
      <c r="G23" s="13"/>
      <c r="H23" s="13"/>
      <c r="I23" s="13"/>
      <c r="J23" s="265"/>
      <c r="K23" s="270"/>
      <c r="L23" s="270"/>
      <c r="M23" s="270"/>
      <c r="N23" s="270"/>
      <c r="O23" s="270"/>
      <c r="P23" s="270"/>
      <c r="Q23" s="156"/>
      <c r="R23" s="169"/>
      <c r="S23" s="169"/>
      <c r="T23" s="137"/>
      <c r="U23" s="137"/>
      <c r="V23" s="137"/>
      <c r="W23" s="137"/>
      <c r="X23" s="137"/>
      <c r="Y23" s="137"/>
      <c r="Z23" s="137"/>
    </row>
    <row r="24" spans="1:28" ht="13.5" customHeight="1">
      <c r="A24" s="10" t="s">
        <v>19</v>
      </c>
      <c r="B24" s="27"/>
      <c r="C24" s="23"/>
      <c r="D24" s="16" t="s">
        <v>153</v>
      </c>
      <c r="E24" s="10"/>
      <c r="F24" s="13">
        <v>0</v>
      </c>
      <c r="G24" s="13">
        <v>0</v>
      </c>
      <c r="H24" s="13">
        <v>361689</v>
      </c>
      <c r="I24" s="13">
        <v>0</v>
      </c>
      <c r="J24" s="133">
        <v>364231</v>
      </c>
      <c r="K24" s="133">
        <v>0</v>
      </c>
      <c r="L24" s="129">
        <f>413467+88608</f>
        <v>502075</v>
      </c>
      <c r="M24" s="129">
        <v>0</v>
      </c>
      <c r="N24" s="129">
        <v>619615</v>
      </c>
      <c r="O24" s="129">
        <v>0</v>
      </c>
      <c r="P24" s="129">
        <v>622357</v>
      </c>
      <c r="Q24" s="149">
        <v>0</v>
      </c>
      <c r="R24" s="224">
        <v>624433</v>
      </c>
      <c r="S24" s="168">
        <v>624433</v>
      </c>
      <c r="T24" s="126">
        <v>627441</v>
      </c>
      <c r="U24" s="126">
        <v>334842</v>
      </c>
      <c r="V24" s="126">
        <v>333652</v>
      </c>
      <c r="W24" s="126">
        <v>60193</v>
      </c>
      <c r="X24" s="126">
        <v>60193</v>
      </c>
      <c r="Y24" s="126">
        <v>60193</v>
      </c>
      <c r="Z24" s="126">
        <v>60193</v>
      </c>
    </row>
    <row r="25" spans="1:28" ht="36">
      <c r="A25" s="243" t="s">
        <v>20</v>
      </c>
      <c r="B25" s="256"/>
      <c r="C25" s="256"/>
      <c r="D25" s="256"/>
      <c r="E25" s="25" t="s">
        <v>118</v>
      </c>
      <c r="F25" s="271">
        <v>0</v>
      </c>
      <c r="G25" s="271">
        <v>0</v>
      </c>
      <c r="H25" s="271">
        <v>0</v>
      </c>
      <c r="I25" s="271">
        <v>0</v>
      </c>
      <c r="J25" s="238">
        <v>0</v>
      </c>
      <c r="K25" s="238">
        <v>0</v>
      </c>
      <c r="L25" s="237">
        <v>0</v>
      </c>
      <c r="M25" s="237">
        <v>0</v>
      </c>
      <c r="N25" s="237">
        <v>0</v>
      </c>
      <c r="O25" s="237">
        <v>0</v>
      </c>
      <c r="P25" s="237">
        <v>0</v>
      </c>
      <c r="Q25" s="237">
        <v>0</v>
      </c>
      <c r="R25" s="237">
        <v>0</v>
      </c>
      <c r="S25" s="237">
        <v>0</v>
      </c>
      <c r="T25" s="239">
        <v>0</v>
      </c>
      <c r="U25" s="239">
        <v>0</v>
      </c>
      <c r="V25" s="239">
        <v>0</v>
      </c>
      <c r="W25" s="239">
        <v>0</v>
      </c>
      <c r="X25" s="239">
        <v>0</v>
      </c>
      <c r="Y25" s="239">
        <v>0</v>
      </c>
      <c r="Z25" s="239">
        <v>0</v>
      </c>
    </row>
    <row r="26" spans="1:28" ht="12.75" customHeight="1">
      <c r="A26" s="243"/>
      <c r="B26" s="256"/>
      <c r="C26" s="256"/>
      <c r="D26" s="256"/>
      <c r="E26" s="26"/>
      <c r="F26" s="271"/>
      <c r="G26" s="271"/>
      <c r="H26" s="271"/>
      <c r="I26" s="271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40"/>
      <c r="U26" s="240"/>
      <c r="V26" s="240"/>
      <c r="W26" s="240"/>
      <c r="X26" s="240"/>
      <c r="Y26" s="240"/>
      <c r="Z26" s="240"/>
    </row>
    <row r="27" spans="1:28" ht="66" customHeight="1">
      <c r="A27" s="92" t="s">
        <v>21</v>
      </c>
      <c r="B27" s="256"/>
      <c r="C27" s="256"/>
      <c r="D27" s="242" t="s">
        <v>168</v>
      </c>
      <c r="E27" s="242"/>
      <c r="F27" s="40">
        <v>0</v>
      </c>
      <c r="G27" s="40">
        <v>0</v>
      </c>
      <c r="H27" s="40">
        <v>0</v>
      </c>
      <c r="I27" s="40">
        <v>0</v>
      </c>
      <c r="J27" s="129">
        <v>0</v>
      </c>
      <c r="K27" s="129">
        <v>0</v>
      </c>
      <c r="L27" s="129">
        <v>0</v>
      </c>
      <c r="M27" s="129">
        <v>0</v>
      </c>
      <c r="N27" s="129">
        <v>0</v>
      </c>
      <c r="O27" s="129">
        <v>0</v>
      </c>
      <c r="P27" s="129">
        <v>0</v>
      </c>
      <c r="Q27" s="149">
        <v>0</v>
      </c>
      <c r="R27" s="224">
        <v>0</v>
      </c>
      <c r="S27" s="168">
        <v>0</v>
      </c>
      <c r="T27" s="126">
        <v>0</v>
      </c>
      <c r="U27" s="126">
        <v>0</v>
      </c>
      <c r="V27" s="126">
        <v>0</v>
      </c>
      <c r="W27" s="126">
        <v>0</v>
      </c>
      <c r="X27" s="126">
        <v>0</v>
      </c>
      <c r="Y27" s="126">
        <v>0</v>
      </c>
      <c r="Z27" s="126">
        <v>0</v>
      </c>
    </row>
    <row r="28" spans="1:28" ht="14.25">
      <c r="A28" s="92" t="s">
        <v>22</v>
      </c>
      <c r="B28" s="256"/>
      <c r="C28" s="256"/>
      <c r="D28" s="242" t="s">
        <v>154</v>
      </c>
      <c r="E28" s="242"/>
      <c r="F28" s="13">
        <v>468155</v>
      </c>
      <c r="G28" s="13">
        <v>55792</v>
      </c>
      <c r="H28" s="13">
        <v>280829</v>
      </c>
      <c r="I28" s="13">
        <v>0</v>
      </c>
      <c r="J28" s="129">
        <f>J29</f>
        <v>366537</v>
      </c>
      <c r="K28" s="129">
        <v>9193</v>
      </c>
      <c r="L28" s="129">
        <f t="shared" ref="L28:Z28" si="11">L29</f>
        <v>407180</v>
      </c>
      <c r="M28" s="129">
        <f t="shared" si="11"/>
        <v>23542</v>
      </c>
      <c r="N28" s="129">
        <f t="shared" si="11"/>
        <v>1652034</v>
      </c>
      <c r="O28" s="129">
        <f t="shared" si="11"/>
        <v>741395.58</v>
      </c>
      <c r="P28" s="129">
        <f t="shared" si="11"/>
        <v>1575570</v>
      </c>
      <c r="Q28" s="149">
        <v>709306.35</v>
      </c>
      <c r="R28" s="224">
        <f t="shared" ref="R28" si="12">R29</f>
        <v>1125201</v>
      </c>
      <c r="S28" s="168">
        <f t="shared" si="11"/>
        <v>1125201</v>
      </c>
      <c r="T28" s="126">
        <f t="shared" si="11"/>
        <v>1220188</v>
      </c>
      <c r="U28" s="126">
        <f t="shared" si="11"/>
        <v>1261246</v>
      </c>
      <c r="V28" s="126">
        <f t="shared" si="11"/>
        <v>1253204</v>
      </c>
      <c r="W28" s="126">
        <f t="shared" si="11"/>
        <v>1022000</v>
      </c>
      <c r="X28" s="126">
        <f t="shared" si="11"/>
        <v>788000</v>
      </c>
      <c r="Y28" s="126">
        <f t="shared" si="11"/>
        <v>548000</v>
      </c>
      <c r="Z28" s="126">
        <f t="shared" si="11"/>
        <v>302000</v>
      </c>
    </row>
    <row r="29" spans="1:28" ht="30" customHeight="1">
      <c r="A29" s="92" t="s">
        <v>23</v>
      </c>
      <c r="B29" s="256"/>
      <c r="C29" s="256"/>
      <c r="D29" s="256"/>
      <c r="E29" s="17" t="s">
        <v>155</v>
      </c>
      <c r="F29" s="13">
        <v>468155</v>
      </c>
      <c r="G29" s="13">
        <v>55792</v>
      </c>
      <c r="H29" s="13">
        <v>280829</v>
      </c>
      <c r="I29" s="13">
        <v>0</v>
      </c>
      <c r="J29" s="129">
        <v>366537</v>
      </c>
      <c r="K29" s="129">
        <v>9193</v>
      </c>
      <c r="L29" s="129">
        <v>407180</v>
      </c>
      <c r="M29" s="129">
        <v>23542</v>
      </c>
      <c r="N29" s="129">
        <v>1652034</v>
      </c>
      <c r="O29" s="129">
        <v>741395.58</v>
      </c>
      <c r="P29" s="129">
        <v>1575570</v>
      </c>
      <c r="Q29" s="149">
        <v>709306.35</v>
      </c>
      <c r="R29" s="224">
        <v>1125201</v>
      </c>
      <c r="S29" s="168">
        <v>1125201</v>
      </c>
      <c r="T29" s="126">
        <v>1220188</v>
      </c>
      <c r="U29" s="126">
        <v>1261246</v>
      </c>
      <c r="V29" s="126">
        <v>1253204</v>
      </c>
      <c r="W29" s="126">
        <v>1022000</v>
      </c>
      <c r="X29" s="126">
        <v>788000</v>
      </c>
      <c r="Y29" s="126">
        <v>548000</v>
      </c>
      <c r="Z29" s="126">
        <v>302000</v>
      </c>
    </row>
    <row r="30" spans="1:28" s="91" customFormat="1" ht="18" customHeight="1">
      <c r="A30" s="92"/>
      <c r="B30" s="88"/>
      <c r="C30" s="242" t="s">
        <v>2</v>
      </c>
      <c r="D30" s="242"/>
      <c r="E30" s="242"/>
      <c r="F30" s="13"/>
      <c r="G30" s="13"/>
      <c r="H30" s="13"/>
      <c r="I30" s="13"/>
      <c r="J30" s="129"/>
      <c r="K30" s="129"/>
      <c r="L30" s="129"/>
      <c r="M30" s="129"/>
      <c r="N30" s="129"/>
      <c r="O30" s="129"/>
      <c r="P30" s="129"/>
      <c r="Q30" s="149"/>
      <c r="R30" s="224"/>
      <c r="S30" s="168"/>
      <c r="T30" s="126"/>
      <c r="U30" s="126"/>
      <c r="V30" s="126"/>
      <c r="W30" s="126"/>
      <c r="X30" s="126"/>
      <c r="Y30" s="126"/>
      <c r="Z30" s="126"/>
    </row>
    <row r="31" spans="1:28" s="91" customFormat="1" ht="72">
      <c r="A31" s="92" t="s">
        <v>119</v>
      </c>
      <c r="B31" s="256"/>
      <c r="C31" s="256"/>
      <c r="D31" s="256"/>
      <c r="E31" s="90" t="s">
        <v>196</v>
      </c>
      <c r="F31" s="13"/>
      <c r="G31" s="13"/>
      <c r="H31" s="13"/>
      <c r="I31" s="13"/>
      <c r="J31" s="129"/>
      <c r="K31" s="129"/>
      <c r="L31" s="129">
        <v>0</v>
      </c>
      <c r="M31" s="129">
        <v>0</v>
      </c>
      <c r="N31" s="129">
        <v>0</v>
      </c>
      <c r="O31" s="129">
        <v>0</v>
      </c>
      <c r="P31" s="129">
        <v>0</v>
      </c>
      <c r="Q31" s="149">
        <v>0</v>
      </c>
      <c r="R31" s="224">
        <v>0</v>
      </c>
      <c r="S31" s="168">
        <v>0</v>
      </c>
      <c r="T31" s="126">
        <v>0</v>
      </c>
      <c r="U31" s="126">
        <v>0</v>
      </c>
      <c r="V31" s="126">
        <v>0</v>
      </c>
      <c r="W31" s="126">
        <v>0</v>
      </c>
      <c r="X31" s="126">
        <v>0</v>
      </c>
      <c r="Y31" s="126">
        <v>0</v>
      </c>
      <c r="Z31" s="126">
        <v>0</v>
      </c>
    </row>
    <row r="32" spans="1:28" s="91" customFormat="1" ht="36">
      <c r="A32" s="92" t="s">
        <v>120</v>
      </c>
      <c r="B32" s="256"/>
      <c r="C32" s="256"/>
      <c r="D32" s="256"/>
      <c r="E32" s="90" t="s">
        <v>156</v>
      </c>
      <c r="F32" s="13"/>
      <c r="G32" s="13"/>
      <c r="H32" s="13"/>
      <c r="I32" s="13"/>
      <c r="J32" s="129"/>
      <c r="K32" s="129"/>
      <c r="L32" s="129">
        <v>32013</v>
      </c>
      <c r="M32" s="129">
        <v>0</v>
      </c>
      <c r="N32" s="129">
        <v>0</v>
      </c>
      <c r="O32" s="129">
        <v>0</v>
      </c>
      <c r="P32" s="129">
        <v>0</v>
      </c>
      <c r="Q32" s="149">
        <v>0</v>
      </c>
      <c r="R32" s="224">
        <v>0</v>
      </c>
      <c r="S32" s="168">
        <v>0</v>
      </c>
      <c r="T32" s="126">
        <v>0</v>
      </c>
      <c r="U32" s="126">
        <v>0</v>
      </c>
      <c r="V32" s="126">
        <v>0</v>
      </c>
      <c r="W32" s="126">
        <v>0</v>
      </c>
      <c r="X32" s="126">
        <v>0</v>
      </c>
      <c r="Y32" s="126">
        <v>0</v>
      </c>
      <c r="Z32" s="126">
        <v>0</v>
      </c>
    </row>
    <row r="33" spans="1:30" s="4" customFormat="1" ht="24.75" customHeight="1">
      <c r="A33" s="9" t="s">
        <v>24</v>
      </c>
      <c r="B33" s="257" t="s">
        <v>157</v>
      </c>
      <c r="C33" s="257"/>
      <c r="D33" s="257"/>
      <c r="E33" s="257"/>
      <c r="F33" s="12">
        <v>75216922</v>
      </c>
      <c r="G33" s="12">
        <v>66023935</v>
      </c>
      <c r="H33" s="12">
        <v>179732893</v>
      </c>
      <c r="I33" s="12">
        <v>68044525.620000005</v>
      </c>
      <c r="J33" s="128">
        <v>177065373</v>
      </c>
      <c r="K33" s="128">
        <v>162264119</v>
      </c>
      <c r="L33" s="128">
        <v>90696637</v>
      </c>
      <c r="M33" s="128">
        <v>72043491</v>
      </c>
      <c r="N33" s="128">
        <v>40702460</v>
      </c>
      <c r="O33" s="128">
        <v>41253931.759999998</v>
      </c>
      <c r="P33" s="143">
        <v>35029652</v>
      </c>
      <c r="Q33" s="143">
        <v>25724931.809999999</v>
      </c>
      <c r="R33" s="143">
        <v>39047647</v>
      </c>
      <c r="S33" s="143">
        <v>33155756</v>
      </c>
      <c r="T33" s="145">
        <v>81558274</v>
      </c>
      <c r="U33" s="145">
        <v>28988750</v>
      </c>
      <c r="V33" s="145">
        <v>6924906</v>
      </c>
      <c r="W33" s="145">
        <v>2424906</v>
      </c>
      <c r="X33" s="145">
        <v>2424906</v>
      </c>
      <c r="Y33" s="145">
        <v>2424906</v>
      </c>
      <c r="Z33" s="145">
        <v>2424906</v>
      </c>
      <c r="AA33" s="119"/>
      <c r="AB33" s="119"/>
      <c r="AC33" s="119"/>
      <c r="AD33" s="119"/>
    </row>
    <row r="34" spans="1:30" ht="19.5" customHeight="1">
      <c r="A34" s="267" t="s">
        <v>158</v>
      </c>
      <c r="B34" s="267"/>
      <c r="C34" s="267"/>
      <c r="D34" s="267"/>
      <c r="E34" s="267"/>
      <c r="F34" s="67">
        <f t="shared" ref="F34:V34" si="13">F8-F21</f>
        <v>9831323</v>
      </c>
      <c r="G34" s="67">
        <f t="shared" si="13"/>
        <v>34614323</v>
      </c>
      <c r="H34" s="67">
        <f t="shared" si="13"/>
        <v>-81515109</v>
      </c>
      <c r="I34" s="67">
        <f t="shared" si="13"/>
        <v>6926002.8199999928</v>
      </c>
      <c r="J34" s="134">
        <f t="shared" si="13"/>
        <v>-71796311</v>
      </c>
      <c r="K34" s="134">
        <f t="shared" si="13"/>
        <v>-67570330</v>
      </c>
      <c r="L34" s="134">
        <f t="shared" si="13"/>
        <v>-33601370</v>
      </c>
      <c r="M34" s="134">
        <f>M8-M21</f>
        <v>-50648023</v>
      </c>
      <c r="N34" s="134">
        <f t="shared" ref="N34" si="14">N8-N21</f>
        <v>-516953</v>
      </c>
      <c r="O34" s="134">
        <f t="shared" si="13"/>
        <v>19934089.570000052</v>
      </c>
      <c r="P34" s="134">
        <f t="shared" si="13"/>
        <v>-1866768.4600000381</v>
      </c>
      <c r="Q34" s="134">
        <f t="shared" ref="Q34:R34" si="15">Q8-Q21</f>
        <v>55451622.620000005</v>
      </c>
      <c r="R34" s="134">
        <f t="shared" si="15"/>
        <v>-20257573.290000021</v>
      </c>
      <c r="S34" s="134">
        <f t="shared" si="13"/>
        <v>-17318217.290000021</v>
      </c>
      <c r="T34" s="68">
        <f t="shared" si="13"/>
        <v>-54714869</v>
      </c>
      <c r="U34" s="68">
        <f t="shared" si="13"/>
        <v>-13932314</v>
      </c>
      <c r="V34" s="68">
        <f t="shared" si="13"/>
        <v>-418236</v>
      </c>
      <c r="W34" s="68">
        <f>W8-W21</f>
        <v>4165219</v>
      </c>
      <c r="X34" s="68">
        <f>X8-X21</f>
        <v>4399219</v>
      </c>
      <c r="Y34" s="68">
        <f>Y8-Y21</f>
        <v>4639219</v>
      </c>
      <c r="Z34" s="68">
        <f>Z8-Z21</f>
        <v>4885219</v>
      </c>
    </row>
    <row r="35" spans="1:30" ht="21.75" customHeight="1">
      <c r="A35" s="241" t="s">
        <v>159</v>
      </c>
      <c r="B35" s="241"/>
      <c r="C35" s="241"/>
      <c r="D35" s="241"/>
      <c r="E35" s="241"/>
      <c r="F35" s="65">
        <f t="shared" ref="F35:Z35" si="16">F36+F38+F40+F42</f>
        <v>81065325</v>
      </c>
      <c r="G35" s="65">
        <f t="shared" si="16"/>
        <v>76262991</v>
      </c>
      <c r="H35" s="65">
        <f t="shared" si="16"/>
        <v>81665109</v>
      </c>
      <c r="I35" s="65">
        <f t="shared" si="16"/>
        <v>107977314</v>
      </c>
      <c r="J35" s="127">
        <f t="shared" si="16"/>
        <v>72126311</v>
      </c>
      <c r="K35" s="127">
        <f t="shared" si="16"/>
        <v>115913295</v>
      </c>
      <c r="L35" s="127">
        <f t="shared" si="16"/>
        <v>33861370</v>
      </c>
      <c r="M35" s="127">
        <f t="shared" si="16"/>
        <v>78253900</v>
      </c>
      <c r="N35" s="127">
        <f t="shared" ref="N35" si="17">N36+N38+N40+N42</f>
        <v>632078</v>
      </c>
      <c r="O35" s="134">
        <f t="shared" si="16"/>
        <v>27862829.030000001</v>
      </c>
      <c r="P35" s="127">
        <f t="shared" si="16"/>
        <v>2417866.46</v>
      </c>
      <c r="Q35" s="127">
        <f t="shared" ref="Q35:R35" si="18">Q36+Q38+Q40+Q42</f>
        <v>46945752.93</v>
      </c>
      <c r="R35" s="127">
        <f t="shared" si="18"/>
        <v>20463300.289999999</v>
      </c>
      <c r="S35" s="127">
        <f t="shared" si="16"/>
        <v>17523944.289999999</v>
      </c>
      <c r="T35" s="66">
        <f t="shared" si="16"/>
        <v>54959299</v>
      </c>
      <c r="U35" s="66">
        <f t="shared" si="16"/>
        <v>14133331</v>
      </c>
      <c r="V35" s="66">
        <f t="shared" si="16"/>
        <v>6555934</v>
      </c>
      <c r="W35" s="66">
        <f t="shared" si="16"/>
        <v>1834781</v>
      </c>
      <c r="X35" s="66">
        <f t="shared" si="16"/>
        <v>1600781</v>
      </c>
      <c r="Y35" s="66">
        <f t="shared" si="16"/>
        <v>1360781</v>
      </c>
      <c r="Z35" s="66">
        <f t="shared" si="16"/>
        <v>1114781</v>
      </c>
      <c r="AA35" s="138"/>
    </row>
    <row r="36" spans="1:30" ht="25.5" customHeight="1">
      <c r="A36" s="257" t="s">
        <v>25</v>
      </c>
      <c r="B36" s="257"/>
      <c r="C36" s="242" t="s">
        <v>160</v>
      </c>
      <c r="D36" s="242"/>
      <c r="E36" s="242"/>
      <c r="F36" s="13">
        <v>63238757</v>
      </c>
      <c r="G36" s="13">
        <v>73362991</v>
      </c>
      <c r="H36" s="13">
        <v>81665109</v>
      </c>
      <c r="I36" s="20">
        <v>107977314</v>
      </c>
      <c r="J36" s="129">
        <v>71116333</v>
      </c>
      <c r="K36" s="129">
        <v>114903317</v>
      </c>
      <c r="L36" s="129">
        <v>31173423</v>
      </c>
      <c r="M36" s="129">
        <v>47332987</v>
      </c>
      <c r="N36" s="129">
        <v>0</v>
      </c>
      <c r="O36" s="129">
        <v>0</v>
      </c>
      <c r="P36" s="144">
        <v>1066768.46</v>
      </c>
      <c r="Q36" s="151">
        <v>16619052.890000001</v>
      </c>
      <c r="R36" s="226">
        <f>15939488+30000+2606000+2925149+500000+99252-70000+3120761+81683+490998+419029+110000+2404803+293540-853089+220000+606036+200000-432000-2373006+3450-2476926.71-3641349</f>
        <v>20203818.289999999</v>
      </c>
      <c r="S36" s="220">
        <f>15939488+30000+2606000+2925149+500000+99252-70000+3120761+81683+490998+419029+110000+2404803+293540-853089+220000+606036+200000-432000-2373006+3450-2476926.71-3641349-2415259+1670-525767</f>
        <v>17264462.289999999</v>
      </c>
      <c r="T36" s="121">
        <v>50831740</v>
      </c>
      <c r="U36" s="121">
        <v>4224132</v>
      </c>
      <c r="V36" s="121">
        <v>0</v>
      </c>
      <c r="W36" s="126">
        <v>0</v>
      </c>
      <c r="X36" s="126">
        <v>0</v>
      </c>
      <c r="Y36" s="126">
        <v>0</v>
      </c>
      <c r="Z36" s="126">
        <v>0</v>
      </c>
      <c r="AA36" s="138"/>
      <c r="AB36" s="138"/>
      <c r="AC36" s="138"/>
      <c r="AD36" s="138"/>
    </row>
    <row r="37" spans="1:30" ht="14.25">
      <c r="A37" s="248" t="s">
        <v>26</v>
      </c>
      <c r="B37" s="249"/>
      <c r="C37" s="246"/>
      <c r="D37" s="247"/>
      <c r="E37" s="10" t="s">
        <v>161</v>
      </c>
      <c r="F37" s="13">
        <v>0</v>
      </c>
      <c r="G37" s="13">
        <v>0</v>
      </c>
      <c r="H37" s="13">
        <v>81515109</v>
      </c>
      <c r="I37" s="13">
        <v>0</v>
      </c>
      <c r="J37" s="129">
        <f>71116333-30000</f>
        <v>71086333</v>
      </c>
      <c r="K37" s="129">
        <v>66860352</v>
      </c>
      <c r="L37" s="129">
        <f>33775070-260000-1284824-160000-140000+2212953+1588608-2919384-1899000+95838-266072+170234</f>
        <v>30913423</v>
      </c>
      <c r="M37" s="129">
        <v>20257088</v>
      </c>
      <c r="N37" s="129">
        <f>2708-2708</f>
        <v>0</v>
      </c>
      <c r="O37" s="129">
        <f>2708-2708</f>
        <v>0</v>
      </c>
      <c r="P37" s="144">
        <v>1066768.46</v>
      </c>
      <c r="Q37" s="151">
        <v>0</v>
      </c>
      <c r="R37" s="139">
        <f>15751508+30000+2606000+2925149+500000+99252-70000+3120761+81683+490998+419029-17747+110000+2404803+293540-853089+220000+606036+200000-432000-2373006+3450-2476926.71-3641349</f>
        <v>19998091.289999999</v>
      </c>
      <c r="S37" s="139">
        <f>15751508+30000+2606000+2925149+500000+99252-70000+3120761+81683+490998+419029-17747+110000+2404803+293540-853089+220000+606036+200000-432000-2373006+3450-2476926.71-3641349-2415259+1670-525767</f>
        <v>17058735.289999999</v>
      </c>
      <c r="T37" s="121">
        <v>50790000</v>
      </c>
      <c r="U37" s="121">
        <f>U36-U44</f>
        <v>4023115</v>
      </c>
      <c r="V37" s="121">
        <v>0</v>
      </c>
      <c r="W37" s="126">
        <v>0</v>
      </c>
      <c r="X37" s="126">
        <v>0</v>
      </c>
      <c r="Y37" s="126">
        <v>0</v>
      </c>
      <c r="Z37" s="126">
        <v>0</v>
      </c>
      <c r="AA37" s="138"/>
      <c r="AB37" s="138"/>
    </row>
    <row r="38" spans="1:30" ht="21" customHeight="1">
      <c r="A38" s="257" t="s">
        <v>27</v>
      </c>
      <c r="B38" s="257"/>
      <c r="C38" s="242" t="s">
        <v>162</v>
      </c>
      <c r="D38" s="242"/>
      <c r="E38" s="242"/>
      <c r="F38" s="13">
        <v>17766568</v>
      </c>
      <c r="G38" s="13">
        <v>2850000</v>
      </c>
      <c r="H38" s="13">
        <v>0</v>
      </c>
      <c r="I38" s="13">
        <v>0</v>
      </c>
      <c r="J38" s="129">
        <v>0</v>
      </c>
      <c r="K38" s="129">
        <v>0</v>
      </c>
      <c r="L38" s="129">
        <v>0</v>
      </c>
      <c r="M38" s="129">
        <v>529978</v>
      </c>
      <c r="N38" s="129">
        <v>115125</v>
      </c>
      <c r="O38" s="129">
        <v>27345876.030000001</v>
      </c>
      <c r="P38" s="129">
        <v>551098</v>
      </c>
      <c r="Q38" s="149">
        <f>31062740.71-736040.67</f>
        <v>30326700.039999999</v>
      </c>
      <c r="R38" s="226">
        <v>0</v>
      </c>
      <c r="S38" s="215">
        <v>0</v>
      </c>
      <c r="T38" s="121">
        <v>3924869</v>
      </c>
      <c r="U38" s="121">
        <v>9909199</v>
      </c>
      <c r="V38" s="121">
        <v>6555934</v>
      </c>
      <c r="W38" s="126">
        <v>1834781</v>
      </c>
      <c r="X38" s="126">
        <v>1600781</v>
      </c>
      <c r="Y38" s="126">
        <v>1360781</v>
      </c>
      <c r="Z38" s="126">
        <v>1114781</v>
      </c>
      <c r="AA38" s="138"/>
      <c r="AB38" s="138"/>
      <c r="AC38" s="138"/>
    </row>
    <row r="39" spans="1:30" ht="14.25">
      <c r="A39" s="248" t="s">
        <v>28</v>
      </c>
      <c r="B39" s="249"/>
      <c r="C39" s="246"/>
      <c r="D39" s="247"/>
      <c r="E39" s="10" t="s">
        <v>161</v>
      </c>
      <c r="F39" s="13"/>
      <c r="G39" s="13"/>
      <c r="H39" s="13"/>
      <c r="I39" s="13"/>
      <c r="J39" s="129">
        <v>0</v>
      </c>
      <c r="K39" s="129">
        <v>0</v>
      </c>
      <c r="L39" s="129">
        <v>0</v>
      </c>
      <c r="M39" s="129">
        <v>0</v>
      </c>
      <c r="N39" s="129">
        <v>0</v>
      </c>
      <c r="O39" s="129">
        <v>0</v>
      </c>
      <c r="P39" s="129">
        <v>0</v>
      </c>
      <c r="Q39" s="149">
        <v>0</v>
      </c>
      <c r="R39" s="224">
        <v>0</v>
      </c>
      <c r="S39" s="170">
        <v>0</v>
      </c>
      <c r="T39" s="126">
        <v>3924869</v>
      </c>
      <c r="U39" s="126">
        <v>9909199</v>
      </c>
      <c r="V39" s="126">
        <v>418236</v>
      </c>
      <c r="W39" s="126">
        <v>0</v>
      </c>
      <c r="X39" s="126">
        <v>0</v>
      </c>
      <c r="Y39" s="126">
        <v>0</v>
      </c>
      <c r="Z39" s="126">
        <v>0</v>
      </c>
      <c r="AA39" s="42"/>
    </row>
    <row r="40" spans="1:30" ht="21" customHeight="1">
      <c r="A40" s="257" t="s">
        <v>29</v>
      </c>
      <c r="B40" s="257"/>
      <c r="C40" s="242" t="s">
        <v>163</v>
      </c>
      <c r="D40" s="242"/>
      <c r="E40" s="242"/>
      <c r="F40" s="13"/>
      <c r="G40" s="13"/>
      <c r="H40" s="13"/>
      <c r="I40" s="13"/>
      <c r="J40" s="129">
        <v>559978</v>
      </c>
      <c r="K40" s="129">
        <v>559978</v>
      </c>
      <c r="L40" s="129">
        <f>794930+1600000+307339+209449-253771</f>
        <v>2657947</v>
      </c>
      <c r="M40" s="129">
        <f>794930+1600000+307339+209449-253771-180224-2116788+30000000</f>
        <v>30360935</v>
      </c>
      <c r="N40" s="129">
        <f>800000-107444-175603</f>
        <v>516953</v>
      </c>
      <c r="O40" s="129">
        <f>800000-107444-175603</f>
        <v>516953</v>
      </c>
      <c r="P40" s="129">
        <v>800000</v>
      </c>
      <c r="Q40" s="173">
        <v>0</v>
      </c>
      <c r="R40" s="224">
        <f>0+259482</f>
        <v>259482</v>
      </c>
      <c r="S40" s="170">
        <f>0+259482</f>
        <v>259482</v>
      </c>
      <c r="T40" s="126">
        <v>0</v>
      </c>
      <c r="U40" s="126">
        <v>0</v>
      </c>
      <c r="V40" s="126">
        <v>0</v>
      </c>
      <c r="W40" s="126">
        <v>0</v>
      </c>
      <c r="X40" s="126">
        <v>0</v>
      </c>
      <c r="Y40" s="126">
        <v>0</v>
      </c>
      <c r="Z40" s="126">
        <v>0</v>
      </c>
      <c r="AA40" s="42"/>
    </row>
    <row r="41" spans="1:30" ht="14.25">
      <c r="A41" s="248" t="s">
        <v>30</v>
      </c>
      <c r="B41" s="249"/>
      <c r="C41" s="246"/>
      <c r="D41" s="247"/>
      <c r="E41" s="10" t="s">
        <v>161</v>
      </c>
      <c r="F41" s="13"/>
      <c r="G41" s="13"/>
      <c r="H41" s="13"/>
      <c r="I41" s="13"/>
      <c r="J41" s="129">
        <v>559978</v>
      </c>
      <c r="K41" s="129">
        <v>559978</v>
      </c>
      <c r="L41" s="129">
        <f>794930+1600000+307339+209449-253771</f>
        <v>2657947</v>
      </c>
      <c r="M41" s="129">
        <f>794930+1600000+307339+209449-253771-180224-2116788+30000000</f>
        <v>30360935</v>
      </c>
      <c r="N41" s="129">
        <f>800000-107444-175603</f>
        <v>516953</v>
      </c>
      <c r="O41" s="129"/>
      <c r="P41" s="129">
        <v>800000</v>
      </c>
      <c r="Q41" s="149">
        <v>0</v>
      </c>
      <c r="R41" s="224">
        <f>0+259482</f>
        <v>259482</v>
      </c>
      <c r="S41" s="174">
        <f>0+259482</f>
        <v>259482</v>
      </c>
      <c r="T41" s="126">
        <v>0</v>
      </c>
      <c r="U41" s="126">
        <v>0</v>
      </c>
      <c r="V41" s="126">
        <v>0</v>
      </c>
      <c r="W41" s="126">
        <v>0</v>
      </c>
      <c r="X41" s="126">
        <v>0</v>
      </c>
      <c r="Y41" s="126">
        <v>0</v>
      </c>
      <c r="Z41" s="126">
        <v>0</v>
      </c>
      <c r="AA41" s="138"/>
    </row>
    <row r="42" spans="1:30" ht="21" customHeight="1">
      <c r="A42" s="257" t="s">
        <v>31</v>
      </c>
      <c r="B42" s="257"/>
      <c r="C42" s="242" t="s">
        <v>167</v>
      </c>
      <c r="D42" s="242"/>
      <c r="E42" s="242"/>
      <c r="F42" s="13">
        <v>60000</v>
      </c>
      <c r="G42" s="13">
        <v>50000</v>
      </c>
      <c r="H42" s="13">
        <v>0</v>
      </c>
      <c r="I42" s="13">
        <v>0</v>
      </c>
      <c r="J42" s="129">
        <v>450000</v>
      </c>
      <c r="K42" s="129">
        <v>450000</v>
      </c>
      <c r="L42" s="129">
        <v>30000</v>
      </c>
      <c r="M42" s="129">
        <v>30000</v>
      </c>
      <c r="N42" s="129">
        <v>0</v>
      </c>
      <c r="O42" s="129">
        <v>0</v>
      </c>
      <c r="P42" s="129">
        <v>0</v>
      </c>
      <c r="Q42" s="149">
        <v>0</v>
      </c>
      <c r="R42" s="224">
        <v>0</v>
      </c>
      <c r="S42" s="170">
        <v>0</v>
      </c>
      <c r="T42" s="126">
        <f>184943+17747</f>
        <v>202690</v>
      </c>
      <c r="U42" s="126">
        <v>0</v>
      </c>
      <c r="V42" s="126">
        <v>0</v>
      </c>
      <c r="W42" s="126">
        <v>0</v>
      </c>
      <c r="X42" s="126">
        <v>0</v>
      </c>
      <c r="Y42" s="126">
        <v>0</v>
      </c>
      <c r="Z42" s="126">
        <v>0</v>
      </c>
      <c r="AA42" s="42"/>
    </row>
    <row r="43" spans="1:30" ht="14.25">
      <c r="A43" s="248" t="s">
        <v>32</v>
      </c>
      <c r="B43" s="249"/>
      <c r="C43" s="246"/>
      <c r="D43" s="247"/>
      <c r="E43" s="10" t="s">
        <v>161</v>
      </c>
      <c r="F43" s="13"/>
      <c r="G43" s="13"/>
      <c r="H43" s="13"/>
      <c r="I43" s="13"/>
      <c r="J43" s="129">
        <v>150000</v>
      </c>
      <c r="K43" s="129">
        <v>150000</v>
      </c>
      <c r="L43" s="129">
        <v>30000</v>
      </c>
      <c r="M43" s="129">
        <v>30000</v>
      </c>
      <c r="N43" s="129">
        <v>0</v>
      </c>
      <c r="O43" s="129">
        <v>0</v>
      </c>
      <c r="P43" s="129">
        <v>0</v>
      </c>
      <c r="Q43" s="149">
        <v>0</v>
      </c>
      <c r="R43" s="224">
        <v>0</v>
      </c>
      <c r="S43" s="170">
        <v>0</v>
      </c>
      <c r="T43" s="126">
        <v>0</v>
      </c>
      <c r="U43" s="126">
        <v>0</v>
      </c>
      <c r="V43" s="126">
        <v>0</v>
      </c>
      <c r="W43" s="126">
        <v>0</v>
      </c>
      <c r="X43" s="126">
        <v>0</v>
      </c>
      <c r="Y43" s="126">
        <v>0</v>
      </c>
      <c r="Z43" s="126">
        <v>0</v>
      </c>
      <c r="AA43" s="42"/>
    </row>
    <row r="44" spans="1:30" ht="24" customHeight="1">
      <c r="A44" s="250" t="s">
        <v>164</v>
      </c>
      <c r="B44" s="251"/>
      <c r="C44" s="251"/>
      <c r="D44" s="251"/>
      <c r="E44" s="69"/>
      <c r="F44" s="65">
        <f t="shared" ref="F44:Z44" si="19">F45+F51</f>
        <v>21903795</v>
      </c>
      <c r="G44" s="65">
        <f t="shared" si="19"/>
        <v>2900000</v>
      </c>
      <c r="H44" s="65">
        <f t="shared" si="19"/>
        <v>150000</v>
      </c>
      <c r="I44" s="65">
        <f t="shared" si="19"/>
        <v>150000</v>
      </c>
      <c r="J44" s="127">
        <f t="shared" si="19"/>
        <v>330000</v>
      </c>
      <c r="K44" s="127">
        <f t="shared" si="19"/>
        <v>330000</v>
      </c>
      <c r="L44" s="127">
        <f t="shared" si="19"/>
        <v>260000</v>
      </c>
      <c r="M44" s="127">
        <f t="shared" si="19"/>
        <v>260000</v>
      </c>
      <c r="N44" s="127">
        <f t="shared" ref="N44" si="20">N45+N51</f>
        <v>115125</v>
      </c>
      <c r="O44" s="127">
        <f t="shared" si="19"/>
        <v>115125</v>
      </c>
      <c r="P44" s="127">
        <f t="shared" si="19"/>
        <v>551098</v>
      </c>
      <c r="Q44" s="127">
        <f t="shared" ref="Q44:R44" si="21">Q45+Q51</f>
        <v>484050.69999999995</v>
      </c>
      <c r="R44" s="127">
        <f t="shared" si="21"/>
        <v>205727</v>
      </c>
      <c r="S44" s="127">
        <f t="shared" si="19"/>
        <v>205727</v>
      </c>
      <c r="T44" s="66">
        <f t="shared" si="19"/>
        <v>244430</v>
      </c>
      <c r="U44" s="66">
        <f t="shared" si="19"/>
        <v>201017</v>
      </c>
      <c r="V44" s="66">
        <f t="shared" si="19"/>
        <v>6137698</v>
      </c>
      <c r="W44" s="66">
        <f t="shared" si="19"/>
        <v>6000000</v>
      </c>
      <c r="X44" s="66">
        <f t="shared" si="19"/>
        <v>6000000</v>
      </c>
      <c r="Y44" s="66">
        <f t="shared" si="19"/>
        <v>6000000</v>
      </c>
      <c r="Z44" s="66">
        <f t="shared" si="19"/>
        <v>6000000</v>
      </c>
      <c r="AA44" s="42"/>
    </row>
    <row r="45" spans="1:30" s="38" customFormat="1" ht="21" customHeight="1">
      <c r="A45" s="37" t="s">
        <v>108</v>
      </c>
      <c r="B45" s="253" t="s">
        <v>165</v>
      </c>
      <c r="C45" s="254"/>
      <c r="D45" s="254"/>
      <c r="E45" s="255"/>
      <c r="F45" s="13"/>
      <c r="G45" s="13">
        <v>2900000</v>
      </c>
      <c r="H45" s="13"/>
      <c r="I45" s="13"/>
      <c r="J45" s="129">
        <v>0</v>
      </c>
      <c r="K45" s="129">
        <v>0</v>
      </c>
      <c r="L45" s="129">
        <v>260000</v>
      </c>
      <c r="M45" s="129">
        <v>260000</v>
      </c>
      <c r="N45" s="129">
        <f>2231913-2116788</f>
        <v>115125</v>
      </c>
      <c r="O45" s="129">
        <f>2231913-2116788</f>
        <v>115125</v>
      </c>
      <c r="P45" s="129">
        <v>551098</v>
      </c>
      <c r="Q45" s="149">
        <v>299107.74</v>
      </c>
      <c r="R45" s="224">
        <f>303120-115140</f>
        <v>187980</v>
      </c>
      <c r="S45" s="170">
        <f>303120-115140</f>
        <v>187980</v>
      </c>
      <c r="T45" s="126">
        <f>369570-125140</f>
        <v>244430</v>
      </c>
      <c r="U45" s="121">
        <f>316953-103140-12796</f>
        <v>201017</v>
      </c>
      <c r="V45" s="121">
        <f>6322000-165003-19181-118</f>
        <v>6137698</v>
      </c>
      <c r="W45" s="126">
        <v>6000000</v>
      </c>
      <c r="X45" s="126">
        <v>6000000</v>
      </c>
      <c r="Y45" s="126">
        <v>6000000</v>
      </c>
      <c r="Z45" s="126">
        <v>6000000</v>
      </c>
      <c r="AA45" s="42"/>
    </row>
    <row r="46" spans="1:30" ht="85.5" customHeight="1">
      <c r="A46" s="243" t="s">
        <v>33</v>
      </c>
      <c r="B46" s="243"/>
      <c r="C46" s="243"/>
      <c r="D46" s="252" t="s">
        <v>166</v>
      </c>
      <c r="E46" s="252"/>
      <c r="F46" s="18">
        <v>0</v>
      </c>
      <c r="G46" s="18">
        <v>0</v>
      </c>
      <c r="H46" s="18">
        <v>0</v>
      </c>
      <c r="I46" s="18">
        <v>0</v>
      </c>
      <c r="J46" s="129">
        <v>0</v>
      </c>
      <c r="K46" s="129">
        <v>0</v>
      </c>
      <c r="L46" s="129">
        <f>L48+L49+L50</f>
        <v>0</v>
      </c>
      <c r="M46" s="129">
        <f>M48+M49+M50</f>
        <v>0</v>
      </c>
      <c r="N46" s="129">
        <v>0</v>
      </c>
      <c r="O46" s="129">
        <v>0</v>
      </c>
      <c r="P46" s="129">
        <f t="shared" ref="P46:Z46" si="22">P48+P49+P50</f>
        <v>0</v>
      </c>
      <c r="Q46" s="149">
        <f t="shared" ref="Q46:R46" si="23">Q48+Q49+Q50</f>
        <v>0</v>
      </c>
      <c r="R46" s="224">
        <f t="shared" si="23"/>
        <v>0</v>
      </c>
      <c r="S46" s="170">
        <f t="shared" si="22"/>
        <v>0</v>
      </c>
      <c r="T46" s="126">
        <f t="shared" si="22"/>
        <v>0</v>
      </c>
      <c r="U46" s="126">
        <f t="shared" si="22"/>
        <v>0</v>
      </c>
      <c r="V46" s="126">
        <f t="shared" si="22"/>
        <v>0</v>
      </c>
      <c r="W46" s="126">
        <f t="shared" si="22"/>
        <v>0</v>
      </c>
      <c r="X46" s="126">
        <f t="shared" si="22"/>
        <v>0</v>
      </c>
      <c r="Y46" s="126">
        <f t="shared" si="22"/>
        <v>0</v>
      </c>
      <c r="Z46" s="126">
        <f t="shared" si="22"/>
        <v>0</v>
      </c>
    </row>
    <row r="47" spans="1:30" s="91" customFormat="1" ht="14.25">
      <c r="A47" s="92"/>
      <c r="B47" s="99"/>
      <c r="C47" s="243" t="s">
        <v>121</v>
      </c>
      <c r="D47" s="243"/>
      <c r="E47" s="243"/>
      <c r="F47" s="18"/>
      <c r="G47" s="18"/>
      <c r="H47" s="18"/>
      <c r="I47" s="18"/>
      <c r="J47" s="129"/>
      <c r="K47" s="129"/>
      <c r="L47" s="129"/>
      <c r="M47" s="129"/>
      <c r="N47" s="129"/>
      <c r="O47" s="129"/>
      <c r="P47" s="129"/>
      <c r="Q47" s="149"/>
      <c r="R47" s="224"/>
      <c r="S47" s="170"/>
      <c r="T47" s="126"/>
      <c r="U47" s="126"/>
      <c r="V47" s="126"/>
      <c r="W47" s="126"/>
      <c r="X47" s="126"/>
      <c r="Y47" s="126"/>
      <c r="Z47" s="126"/>
    </row>
    <row r="48" spans="1:30" ht="24">
      <c r="A48" s="92" t="s">
        <v>34</v>
      </c>
      <c r="B48" s="100"/>
      <c r="C48" s="244"/>
      <c r="D48" s="245"/>
      <c r="E48" s="101" t="s">
        <v>169</v>
      </c>
      <c r="F48" s="18"/>
      <c r="G48" s="18"/>
      <c r="H48" s="18"/>
      <c r="I48" s="18"/>
      <c r="J48" s="129">
        <v>0</v>
      </c>
      <c r="K48" s="129">
        <v>0</v>
      </c>
      <c r="L48" s="129">
        <v>0</v>
      </c>
      <c r="M48" s="129">
        <v>0</v>
      </c>
      <c r="N48" s="129">
        <v>0</v>
      </c>
      <c r="O48" s="129">
        <v>0</v>
      </c>
      <c r="P48" s="129">
        <v>0</v>
      </c>
      <c r="Q48" s="149">
        <v>0</v>
      </c>
      <c r="R48" s="224">
        <v>0</v>
      </c>
      <c r="S48" s="170">
        <v>0</v>
      </c>
      <c r="T48" s="126">
        <v>0</v>
      </c>
      <c r="U48" s="126">
        <v>0</v>
      </c>
      <c r="V48" s="126">
        <v>0</v>
      </c>
      <c r="W48" s="126">
        <v>0</v>
      </c>
      <c r="X48" s="126">
        <v>0</v>
      </c>
      <c r="Y48" s="126">
        <v>0</v>
      </c>
      <c r="Z48" s="126">
        <v>0</v>
      </c>
    </row>
    <row r="49" spans="1:26" s="91" customFormat="1" ht="24">
      <c r="A49" s="92" t="s">
        <v>122</v>
      </c>
      <c r="B49" s="100"/>
      <c r="C49" s="244"/>
      <c r="D49" s="245"/>
      <c r="E49" s="101" t="s">
        <v>170</v>
      </c>
      <c r="F49" s="18"/>
      <c r="G49" s="18"/>
      <c r="H49" s="18"/>
      <c r="I49" s="18"/>
      <c r="J49" s="129">
        <v>0</v>
      </c>
      <c r="K49" s="129">
        <v>0</v>
      </c>
      <c r="L49" s="129">
        <v>0</v>
      </c>
      <c r="M49" s="129">
        <v>0</v>
      </c>
      <c r="N49" s="129">
        <v>0</v>
      </c>
      <c r="O49" s="129">
        <v>0</v>
      </c>
      <c r="P49" s="129">
        <v>0</v>
      </c>
      <c r="Q49" s="149">
        <v>0</v>
      </c>
      <c r="R49" s="224">
        <v>0</v>
      </c>
      <c r="S49" s="170">
        <v>0</v>
      </c>
      <c r="T49" s="126">
        <v>0</v>
      </c>
      <c r="U49" s="126">
        <v>0</v>
      </c>
      <c r="V49" s="126">
        <v>0</v>
      </c>
      <c r="W49" s="126">
        <v>0</v>
      </c>
      <c r="X49" s="126">
        <v>0</v>
      </c>
      <c r="Y49" s="126">
        <v>0</v>
      </c>
      <c r="Z49" s="126">
        <v>0</v>
      </c>
    </row>
    <row r="50" spans="1:26" s="91" customFormat="1" ht="24">
      <c r="A50" s="92" t="s">
        <v>123</v>
      </c>
      <c r="B50" s="100"/>
      <c r="C50" s="244"/>
      <c r="D50" s="245"/>
      <c r="E50" s="101" t="s">
        <v>171</v>
      </c>
      <c r="F50" s="18"/>
      <c r="G50" s="18"/>
      <c r="H50" s="18"/>
      <c r="I50" s="18"/>
      <c r="J50" s="129">
        <v>0</v>
      </c>
      <c r="K50" s="129">
        <v>0</v>
      </c>
      <c r="L50" s="129">
        <v>0</v>
      </c>
      <c r="M50" s="129">
        <v>0</v>
      </c>
      <c r="N50" s="129">
        <v>0</v>
      </c>
      <c r="O50" s="129">
        <v>0</v>
      </c>
      <c r="P50" s="129">
        <v>0</v>
      </c>
      <c r="Q50" s="149">
        <v>0</v>
      </c>
      <c r="R50" s="224">
        <v>0</v>
      </c>
      <c r="S50" s="170">
        <v>0</v>
      </c>
      <c r="T50" s="126">
        <v>0</v>
      </c>
      <c r="U50" s="126">
        <v>0</v>
      </c>
      <c r="V50" s="126">
        <v>0</v>
      </c>
      <c r="W50" s="126">
        <v>0</v>
      </c>
      <c r="X50" s="126">
        <v>0</v>
      </c>
      <c r="Y50" s="126">
        <v>0</v>
      </c>
      <c r="Z50" s="126">
        <v>0</v>
      </c>
    </row>
    <row r="51" spans="1:26" ht="18" customHeight="1">
      <c r="A51" s="28" t="s">
        <v>106</v>
      </c>
      <c r="B51" s="29"/>
      <c r="C51" s="24"/>
      <c r="D51" s="24"/>
      <c r="E51" s="23"/>
      <c r="F51" s="13">
        <v>21903795</v>
      </c>
      <c r="G51" s="13">
        <v>0</v>
      </c>
      <c r="H51" s="13">
        <v>150000</v>
      </c>
      <c r="I51" s="13">
        <v>150000</v>
      </c>
      <c r="J51" s="129">
        <v>330000</v>
      </c>
      <c r="K51" s="129">
        <v>330000</v>
      </c>
      <c r="L51" s="129">
        <v>0</v>
      </c>
      <c r="M51" s="129">
        <v>0</v>
      </c>
      <c r="N51" s="129">
        <v>0</v>
      </c>
      <c r="O51" s="129">
        <v>0</v>
      </c>
      <c r="P51" s="129">
        <v>0</v>
      </c>
      <c r="Q51" s="149">
        <v>184942.96</v>
      </c>
      <c r="R51" s="224">
        <f>0+17747</f>
        <v>17747</v>
      </c>
      <c r="S51" s="170">
        <f>0+17747</f>
        <v>17747</v>
      </c>
      <c r="T51" s="126">
        <v>0</v>
      </c>
      <c r="U51" s="126">
        <v>0</v>
      </c>
      <c r="V51" s="126">
        <v>0</v>
      </c>
      <c r="W51" s="126">
        <v>0</v>
      </c>
      <c r="X51" s="126">
        <v>0</v>
      </c>
      <c r="Y51" s="126">
        <v>0</v>
      </c>
      <c r="Z51" s="126">
        <v>0</v>
      </c>
    </row>
    <row r="52" spans="1:26" ht="25.5" customHeight="1">
      <c r="A52" s="241" t="s">
        <v>172</v>
      </c>
      <c r="B52" s="241"/>
      <c r="C52" s="241"/>
      <c r="D52" s="241"/>
      <c r="E52" s="241"/>
      <c r="F52" s="70">
        <v>2900000</v>
      </c>
      <c r="G52" s="65">
        <v>0</v>
      </c>
      <c r="H52" s="65">
        <v>0</v>
      </c>
      <c r="I52" s="65">
        <v>0</v>
      </c>
      <c r="J52" s="127">
        <v>559978</v>
      </c>
      <c r="K52" s="127">
        <v>559978</v>
      </c>
      <c r="L52" s="127">
        <v>2957925</v>
      </c>
      <c r="M52" s="127">
        <f>K52+M40-M44</f>
        <v>30660913</v>
      </c>
      <c r="N52" s="127">
        <f>M52+N40-N44</f>
        <v>31062741</v>
      </c>
      <c r="O52" s="127">
        <f>M52+O40-O44</f>
        <v>31062741</v>
      </c>
      <c r="P52" s="127">
        <f>O52+P40-P44</f>
        <v>31311643</v>
      </c>
      <c r="Q52" s="127">
        <f>O52+Q40-Q44+184942.96-251990.26</f>
        <v>30511643</v>
      </c>
      <c r="R52" s="127">
        <f>Q52+R40-R44+17747</f>
        <v>30583145</v>
      </c>
      <c r="S52" s="127">
        <f>Q52+S40-S44+17747</f>
        <v>30583145</v>
      </c>
      <c r="T52" s="66">
        <f t="shared" ref="T52:Z52" si="24">S52+T40-T44</f>
        <v>30338715</v>
      </c>
      <c r="U52" s="66">
        <f t="shared" si="24"/>
        <v>30137698</v>
      </c>
      <c r="V52" s="66">
        <f t="shared" si="24"/>
        <v>24000000</v>
      </c>
      <c r="W52" s="66">
        <f t="shared" si="24"/>
        <v>18000000</v>
      </c>
      <c r="X52" s="66">
        <f t="shared" si="24"/>
        <v>12000000</v>
      </c>
      <c r="Y52" s="66">
        <f t="shared" si="24"/>
        <v>6000000</v>
      </c>
      <c r="Z52" s="66">
        <f t="shared" si="24"/>
        <v>0</v>
      </c>
    </row>
    <row r="53" spans="1:26" ht="41.25" customHeight="1">
      <c r="A53" s="241" t="s">
        <v>35</v>
      </c>
      <c r="B53" s="241"/>
      <c r="C53" s="241"/>
      <c r="D53" s="241"/>
      <c r="E53" s="241"/>
      <c r="F53" s="71"/>
      <c r="G53" s="71"/>
      <c r="H53" s="71"/>
      <c r="I53" s="71"/>
      <c r="J53" s="135">
        <v>0</v>
      </c>
      <c r="K53" s="135">
        <v>0</v>
      </c>
      <c r="L53" s="135">
        <v>0</v>
      </c>
      <c r="M53" s="135">
        <v>0</v>
      </c>
      <c r="N53" s="135">
        <v>0</v>
      </c>
      <c r="O53" s="135">
        <v>0</v>
      </c>
      <c r="P53" s="135">
        <v>0</v>
      </c>
      <c r="Q53" s="135">
        <v>0</v>
      </c>
      <c r="R53" s="135">
        <v>0</v>
      </c>
      <c r="S53" s="135">
        <v>0</v>
      </c>
      <c r="T53" s="72">
        <v>0</v>
      </c>
      <c r="U53" s="72">
        <v>0</v>
      </c>
      <c r="V53" s="72">
        <v>0</v>
      </c>
      <c r="W53" s="72">
        <v>0</v>
      </c>
      <c r="X53" s="72">
        <v>0</v>
      </c>
      <c r="Y53" s="72">
        <v>0</v>
      </c>
      <c r="Z53" s="72">
        <v>0</v>
      </c>
    </row>
    <row r="54" spans="1:26" ht="13.5" customHeight="1">
      <c r="A54" s="241" t="s">
        <v>36</v>
      </c>
      <c r="B54" s="241"/>
      <c r="C54" s="241"/>
      <c r="D54" s="241"/>
      <c r="E54" s="241"/>
      <c r="F54" s="71"/>
      <c r="G54" s="71"/>
      <c r="H54" s="71"/>
      <c r="I54" s="71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72"/>
      <c r="U54" s="72"/>
      <c r="V54" s="72"/>
      <c r="W54" s="72"/>
      <c r="X54" s="72"/>
      <c r="Y54" s="72"/>
      <c r="Z54" s="72"/>
    </row>
    <row r="55" spans="1:26" ht="27.75" customHeight="1">
      <c r="A55" s="242" t="s">
        <v>100</v>
      </c>
      <c r="B55" s="242"/>
      <c r="C55" s="242"/>
      <c r="D55" s="242"/>
      <c r="E55" s="242"/>
      <c r="F55" s="14">
        <f t="shared" ref="F55:V55" si="25">F9-F22</f>
        <v>64074710</v>
      </c>
      <c r="G55" s="14">
        <f t="shared" si="25"/>
        <v>73016021</v>
      </c>
      <c r="H55" s="14">
        <f t="shared" si="25"/>
        <v>11506962</v>
      </c>
      <c r="I55" s="14">
        <f t="shared" si="25"/>
        <v>30934279.689999998</v>
      </c>
      <c r="J55" s="129">
        <f t="shared" si="25"/>
        <v>17525135</v>
      </c>
      <c r="K55" s="129">
        <f t="shared" si="25"/>
        <v>41247083</v>
      </c>
      <c r="L55" s="129">
        <f t="shared" si="25"/>
        <v>13642695</v>
      </c>
      <c r="M55" s="129">
        <f>M9-M22</f>
        <v>-20182678</v>
      </c>
      <c r="N55" s="129">
        <f t="shared" ref="N55" si="26">N9-N22</f>
        <v>9672418</v>
      </c>
      <c r="O55" s="129">
        <f t="shared" si="25"/>
        <v>27102721.160000026</v>
      </c>
      <c r="P55" s="129">
        <f t="shared" si="25"/>
        <v>22328599.659999967</v>
      </c>
      <c r="Q55" s="149">
        <f t="shared" ref="Q55:R55" si="27">Q9-Q22</f>
        <v>58916613</v>
      </c>
      <c r="R55" s="224">
        <f t="shared" si="27"/>
        <v>11657263.829999983</v>
      </c>
      <c r="S55" s="170">
        <f t="shared" si="25"/>
        <v>12393698.829999983</v>
      </c>
      <c r="T55" s="126">
        <f t="shared" si="25"/>
        <v>8127052</v>
      </c>
      <c r="U55" s="126">
        <f t="shared" si="25"/>
        <v>7890836</v>
      </c>
      <c r="V55" s="126">
        <f t="shared" si="25"/>
        <v>6506670</v>
      </c>
      <c r="W55" s="126">
        <f>W9-W22</f>
        <v>6590125</v>
      </c>
      <c r="X55" s="126">
        <f>X9-X22</f>
        <v>6824125</v>
      </c>
      <c r="Y55" s="126">
        <f>Y9-Y22</f>
        <v>7064125</v>
      </c>
      <c r="Z55" s="126">
        <f>Z9-Z22</f>
        <v>7310125</v>
      </c>
    </row>
    <row r="56" spans="1:26" ht="42.75" customHeight="1">
      <c r="A56" s="243" t="s">
        <v>173</v>
      </c>
      <c r="B56" s="243"/>
      <c r="C56" s="243"/>
      <c r="D56" s="243"/>
      <c r="E56" s="243"/>
      <c r="F56" s="14">
        <f>F9+F36+F38-F22-F27</f>
        <v>145080035</v>
      </c>
      <c r="G56" s="14">
        <f>G9+G36+G38-G22-G27</f>
        <v>149229012</v>
      </c>
      <c r="H56" s="14">
        <f>H9+H36+H38-H22-H27</f>
        <v>93172071</v>
      </c>
      <c r="I56" s="14">
        <f>I9+I36+I38-I22-I27</f>
        <v>138911593.69</v>
      </c>
      <c r="J56" s="129">
        <f t="shared" ref="J56:V56" si="28">J9+J36+J38-(J22-J27)</f>
        <v>88641468</v>
      </c>
      <c r="K56" s="129">
        <f t="shared" si="28"/>
        <v>156150400</v>
      </c>
      <c r="L56" s="129">
        <f t="shared" si="28"/>
        <v>44816118</v>
      </c>
      <c r="M56" s="129">
        <f>M9+M36+M38-(M22-M27)</f>
        <v>27680287</v>
      </c>
      <c r="N56" s="129">
        <f t="shared" ref="N56" si="29">N9+N36+N38-(N22-N27)</f>
        <v>9787543</v>
      </c>
      <c r="O56" s="129">
        <f t="shared" si="28"/>
        <v>54448597.190000057</v>
      </c>
      <c r="P56" s="129">
        <f t="shared" si="28"/>
        <v>23946466.119999945</v>
      </c>
      <c r="Q56" s="149">
        <f t="shared" ref="Q56:R56" si="30">Q9+Q36+Q38-(Q22-Q27)</f>
        <v>105862365.93000001</v>
      </c>
      <c r="R56" s="224">
        <f t="shared" si="30"/>
        <v>31861082.120000005</v>
      </c>
      <c r="S56" s="170">
        <f t="shared" si="28"/>
        <v>29658161.120000005</v>
      </c>
      <c r="T56" s="126">
        <f t="shared" si="28"/>
        <v>62883661</v>
      </c>
      <c r="U56" s="126">
        <f t="shared" si="28"/>
        <v>22024167</v>
      </c>
      <c r="V56" s="126">
        <f t="shared" si="28"/>
        <v>13062604</v>
      </c>
      <c r="W56" s="126">
        <f>W9+W36+W38-(W22-W27)</f>
        <v>8424906</v>
      </c>
      <c r="X56" s="126">
        <f>X9+X36+X38-(X22-X27)</f>
        <v>8424906</v>
      </c>
      <c r="Y56" s="126">
        <f>Y9+Y36+Y38-(Y22-Y27)</f>
        <v>8424906</v>
      </c>
      <c r="Z56" s="126">
        <f>Z9+Z36+Z38-(Z22-Z27)</f>
        <v>8424906</v>
      </c>
    </row>
    <row r="57" spans="1:26" ht="18" customHeight="1">
      <c r="A57" s="241" t="s">
        <v>107</v>
      </c>
      <c r="B57" s="241"/>
      <c r="C57" s="241"/>
      <c r="D57" s="241"/>
      <c r="E57" s="241"/>
      <c r="F57" s="71"/>
      <c r="G57" s="71"/>
      <c r="H57" s="71"/>
      <c r="I57" s="71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spans="1:26" ht="52.5" customHeight="1">
      <c r="A58" s="92" t="s">
        <v>124</v>
      </c>
      <c r="B58" s="258" t="s">
        <v>174</v>
      </c>
      <c r="C58" s="258"/>
      <c r="D58" s="258"/>
      <c r="E58" s="258"/>
      <c r="F58" s="46">
        <f t="shared" ref="F58:V58" si="31">(F24+F29+F45)/F8</f>
        <v>1.3579829361425779E-3</v>
      </c>
      <c r="G58" s="46">
        <f t="shared" si="31"/>
        <v>7.9758885414294104E-3</v>
      </c>
      <c r="H58" s="46">
        <f t="shared" si="31"/>
        <v>1.6263193414980798E-3</v>
      </c>
      <c r="I58" s="46">
        <f t="shared" si="31"/>
        <v>0</v>
      </c>
      <c r="J58" s="46">
        <f t="shared" si="31"/>
        <v>1.7484782142085647E-3</v>
      </c>
      <c r="K58" s="46">
        <f t="shared" si="31"/>
        <v>2.3321187188207865E-5</v>
      </c>
      <c r="L58" s="46">
        <f t="shared" si="31"/>
        <v>3.1021134961067031E-3</v>
      </c>
      <c r="M58" s="46">
        <f>(M24+M29+M45)/M8</f>
        <v>8.5170496710688991E-4</v>
      </c>
      <c r="N58" s="46">
        <f t="shared" ref="N58" si="32">(N24+N29+N45)/N8</f>
        <v>6.519036913623784E-3</v>
      </c>
      <c r="O58" s="46">
        <f t="shared" si="31"/>
        <v>2.2668581391363024E-3</v>
      </c>
      <c r="P58" s="46">
        <f t="shared" si="31"/>
        <v>6.8269820305632209E-3</v>
      </c>
      <c r="Q58" s="46">
        <f t="shared" ref="Q58:R58" si="33">(Q24+Q29+Q45)/Q8</f>
        <v>2.2878230918698316E-3</v>
      </c>
      <c r="R58" s="46">
        <f t="shared" si="33"/>
        <v>4.7700693074206367E-3</v>
      </c>
      <c r="S58" s="46">
        <f t="shared" si="31"/>
        <v>4.7316031089657982E-3</v>
      </c>
      <c r="T58" s="46">
        <f t="shared" si="31"/>
        <v>4.8520127742935704E-3</v>
      </c>
      <c r="U58" s="46">
        <f t="shared" si="31"/>
        <v>4.2478910671774886E-3</v>
      </c>
      <c r="V58" s="46">
        <f t="shared" si="31"/>
        <v>1.8555868524986415E-2</v>
      </c>
      <c r="W58" s="46">
        <f>(W24+W29+W45)/W8</f>
        <v>1.6978302158133198E-2</v>
      </c>
      <c r="X58" s="46">
        <f>(X24+X29+X45)/X8</f>
        <v>1.6417328642584671E-2</v>
      </c>
      <c r="Y58" s="46">
        <f>(Y24+Y29+Y45)/Y8</f>
        <v>1.5841971190740028E-2</v>
      </c>
      <c r="Z58" s="46">
        <f>(Z24+Z29+Z45)/Z8</f>
        <v>1.5252229802599269E-2</v>
      </c>
    </row>
    <row r="59" spans="1:26" ht="55.5" customHeight="1">
      <c r="A59" s="92" t="s">
        <v>125</v>
      </c>
      <c r="B59" s="258" t="s">
        <v>175</v>
      </c>
      <c r="C59" s="258"/>
      <c r="D59" s="258"/>
      <c r="E59" s="258"/>
      <c r="F59" s="46">
        <f t="shared" ref="F59:V59" si="34">(((F24-F25)+(F29-F31-F32)+(F45-F46))/(F8-F119))</f>
        <v>1.3579829361425779E-3</v>
      </c>
      <c r="G59" s="46">
        <f t="shared" si="34"/>
        <v>7.9758885414294104E-3</v>
      </c>
      <c r="H59" s="46">
        <f t="shared" si="34"/>
        <v>1.6263193414980798E-3</v>
      </c>
      <c r="I59" s="46">
        <f t="shared" si="34"/>
        <v>0</v>
      </c>
      <c r="J59" s="46">
        <f t="shared" si="34"/>
        <v>1.7484782142085647E-3</v>
      </c>
      <c r="K59" s="46">
        <f t="shared" si="34"/>
        <v>2.3321187188207865E-5</v>
      </c>
      <c r="L59" s="46">
        <f t="shared" si="34"/>
        <v>3.0171808173062157E-3</v>
      </c>
      <c r="M59" s="46">
        <f>(((M24-M25)+(M29-M31-M32)+(M45-M46))/(M8-M119))</f>
        <v>8.5170496710688991E-4</v>
      </c>
      <c r="N59" s="46">
        <f t="shared" ref="N59" si="35">(((N24-N25)+(N29-N31-N32)+(N45-N46))/(N8-N119))</f>
        <v>6.519036913623784E-3</v>
      </c>
      <c r="O59" s="46">
        <f t="shared" si="34"/>
        <v>2.2668581391363024E-3</v>
      </c>
      <c r="P59" s="46">
        <f t="shared" si="34"/>
        <v>6.8269820305632209E-3</v>
      </c>
      <c r="Q59" s="46">
        <f t="shared" ref="Q59:R59" si="36">(((Q24-Q25)+(Q29-Q31-Q32)+(Q45-Q46))/(Q8-Q119))</f>
        <v>2.2878230918698316E-3</v>
      </c>
      <c r="R59" s="46">
        <f t="shared" si="36"/>
        <v>4.7700693074206367E-3</v>
      </c>
      <c r="S59" s="46">
        <f t="shared" si="34"/>
        <v>4.7316031089657982E-3</v>
      </c>
      <c r="T59" s="46">
        <f t="shared" si="34"/>
        <v>4.8520127742935704E-3</v>
      </c>
      <c r="U59" s="46">
        <f t="shared" si="34"/>
        <v>4.2478910671774886E-3</v>
      </c>
      <c r="V59" s="46">
        <f t="shared" si="34"/>
        <v>1.8555868524986415E-2</v>
      </c>
      <c r="W59" s="46">
        <f>(((W24-W25)+(W29-W31-W32)+(W45-W46))/(W8-W119))</f>
        <v>1.6978302158133198E-2</v>
      </c>
      <c r="X59" s="46">
        <f>(((X24-X25)+(X29-X31-X32)+(X45-X46))/(X8-X119))</f>
        <v>1.6417328642584671E-2</v>
      </c>
      <c r="Y59" s="46">
        <f>(((Y24-Y25)+(Y29-Y31-Y32)+(Y45-Y46))/(Y8-Y119))</f>
        <v>1.5841971190740028E-2</v>
      </c>
      <c r="Z59" s="46">
        <f>(((Z24-Z25)+(Z29-Z31-Z32)+(Z45-Z46))/(Z8-Z119))</f>
        <v>1.5252229802599269E-2</v>
      </c>
    </row>
    <row r="60" spans="1:26" s="91" customFormat="1" ht="45.75" customHeight="1">
      <c r="A60" s="92" t="s">
        <v>37</v>
      </c>
      <c r="B60" s="258" t="s">
        <v>126</v>
      </c>
      <c r="C60" s="258"/>
      <c r="D60" s="258"/>
      <c r="E60" s="258"/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105">
        <v>826980</v>
      </c>
      <c r="M60" s="105">
        <v>0</v>
      </c>
      <c r="N60" s="118">
        <v>1098900</v>
      </c>
      <c r="O60" s="118">
        <v>0</v>
      </c>
      <c r="P60" s="96">
        <v>0</v>
      </c>
      <c r="Q60" s="96">
        <v>0</v>
      </c>
      <c r="R60" s="96">
        <v>0</v>
      </c>
      <c r="S60" s="96">
        <v>0</v>
      </c>
      <c r="T60" s="96">
        <v>0</v>
      </c>
      <c r="U60" s="96">
        <v>0</v>
      </c>
      <c r="V60" s="96">
        <v>0</v>
      </c>
      <c r="W60" s="96">
        <v>0</v>
      </c>
      <c r="X60" s="96">
        <v>0</v>
      </c>
      <c r="Y60" s="96">
        <v>0</v>
      </c>
      <c r="Z60" s="96">
        <v>0</v>
      </c>
    </row>
    <row r="61" spans="1:26" ht="57" customHeight="1">
      <c r="A61" s="92" t="s">
        <v>38</v>
      </c>
      <c r="B61" s="258" t="s">
        <v>176</v>
      </c>
      <c r="C61" s="258"/>
      <c r="D61" s="258"/>
      <c r="E61" s="258"/>
      <c r="F61" s="46">
        <f t="shared" ref="F61:V61" si="37">(((F24-F25)+(F29-F31-F32)+(F45-F46)+F60)/(F8-F119))</f>
        <v>1.3579829361425779E-3</v>
      </c>
      <c r="G61" s="46">
        <f t="shared" si="37"/>
        <v>7.9758885414294104E-3</v>
      </c>
      <c r="H61" s="46">
        <f t="shared" si="37"/>
        <v>1.6263193414980798E-3</v>
      </c>
      <c r="I61" s="46">
        <f t="shared" si="37"/>
        <v>0</v>
      </c>
      <c r="J61" s="46">
        <f t="shared" si="37"/>
        <v>1.7484782142085647E-3</v>
      </c>
      <c r="K61" s="46">
        <f t="shared" si="37"/>
        <v>2.3321187188207865E-5</v>
      </c>
      <c r="L61" s="46">
        <f t="shared" si="37"/>
        <v>5.2112153256130616E-3</v>
      </c>
      <c r="M61" s="46">
        <f>(((M24-M25)+(M29-M31-M32)+(M45-M46)+M60)/(M8-M119))</f>
        <v>8.5170496710688991E-4</v>
      </c>
      <c r="N61" s="46">
        <f t="shared" ref="N61" si="38">(((N24-N25)+(N29-N31-N32)+(N45-N46)+N60)/(N8-N119))</f>
        <v>9.5204814007772282E-3</v>
      </c>
      <c r="O61" s="46">
        <f t="shared" si="37"/>
        <v>2.2668581391363024E-3</v>
      </c>
      <c r="P61" s="46">
        <f t="shared" si="37"/>
        <v>6.8269820305632209E-3</v>
      </c>
      <c r="Q61" s="46">
        <f t="shared" ref="Q61:R61" si="39">(((Q24-Q25)+(Q29-Q31-Q32)+(Q45-Q46)+Q60)/(Q8-Q119))</f>
        <v>2.2878230918698316E-3</v>
      </c>
      <c r="R61" s="46">
        <f t="shared" si="39"/>
        <v>4.7700693074206367E-3</v>
      </c>
      <c r="S61" s="46">
        <f t="shared" si="37"/>
        <v>4.7316031089657982E-3</v>
      </c>
      <c r="T61" s="46">
        <f t="shared" si="37"/>
        <v>4.8520127742935704E-3</v>
      </c>
      <c r="U61" s="46">
        <f t="shared" si="37"/>
        <v>4.2478910671774886E-3</v>
      </c>
      <c r="V61" s="46">
        <f t="shared" si="37"/>
        <v>1.8555868524986415E-2</v>
      </c>
      <c r="W61" s="46">
        <f>(((W24-W25)+(W29-W31-W32)+(W45-W46)+W60)/(W8-W119))</f>
        <v>1.6978302158133198E-2</v>
      </c>
      <c r="X61" s="46">
        <f>(((X24-X25)+(X29-X31-X32)+(X45-X46)+X60)/(X8-X119))</f>
        <v>1.6417328642584671E-2</v>
      </c>
      <c r="Y61" s="46">
        <f>(((Y24-Y25)+(Y29-Y31-Y32)+(Y45-Y46)+Y60)/(Y8-Y119))</f>
        <v>1.5841971190740028E-2</v>
      </c>
      <c r="Z61" s="46">
        <f>(((Z24-Z25)+(Z29-Z31-Z32)+(Z45-Z46)+Z60)/(Z8-Z119))</f>
        <v>1.5252229802599269E-2</v>
      </c>
    </row>
    <row r="62" spans="1:26" s="91" customFormat="1" ht="45.75" customHeight="1">
      <c r="A62" s="92" t="s">
        <v>39</v>
      </c>
      <c r="B62" s="258" t="s">
        <v>177</v>
      </c>
      <c r="C62" s="258"/>
      <c r="D62" s="258"/>
      <c r="E62" s="258"/>
      <c r="F62" s="46">
        <f t="shared" ref="F62:V62" si="40">((F9-F119)+(F19)-(F22-F27-F120))/(F8-F119)</f>
        <v>0.19582082321412619</v>
      </c>
      <c r="G62" s="46">
        <f t="shared" si="40"/>
        <v>0.20199205303823189</v>
      </c>
      <c r="H62" s="46">
        <f t="shared" si="40"/>
        <v>4.9747957938004315E-2</v>
      </c>
      <c r="I62" s="46">
        <f t="shared" si="40"/>
        <v>9.4861386185850077E-2</v>
      </c>
      <c r="J62" s="46">
        <f t="shared" si="40"/>
        <v>5.2085908132884308E-2</v>
      </c>
      <c r="K62" s="46">
        <f t="shared" si="40"/>
        <v>0.10798794675402332</v>
      </c>
      <c r="L62" s="46">
        <f t="shared" si="40"/>
        <v>4.3909552897298337E-2</v>
      </c>
      <c r="M62" s="46">
        <f>((M9-M119)+(M19)-(M22-M27-M120))/(M8-M119)</f>
        <v>-5.6442751483747659E-2</v>
      </c>
      <c r="N62" s="46">
        <f t="shared" ref="N62" si="41">((N9-N119)+(N19)-(N22-N27-N120))/(N8-N119)</f>
        <v>3.5534191143745994E-2</v>
      </c>
      <c r="O62" s="46">
        <f t="shared" si="40"/>
        <v>7.3934780773876968E-2</v>
      </c>
      <c r="P62" s="46">
        <f t="shared" si="40"/>
        <v>5.9727651401361853E-2</v>
      </c>
      <c r="Q62" s="46">
        <f t="shared" ref="Q62:R62" si="42">((Q9-Q119)+(Q19)-(Q22-Q27-Q120))/(Q8-Q119)</f>
        <v>0.13795081961703254</v>
      </c>
      <c r="R62" s="46">
        <f t="shared" si="42"/>
        <v>3.5806538399844143E-2</v>
      </c>
      <c r="S62" s="46">
        <f t="shared" si="40"/>
        <v>3.5559647210386312E-2</v>
      </c>
      <c r="T62" s="46">
        <f t="shared" si="40"/>
        <v>2.5695328556329045E-2</v>
      </c>
      <c r="U62" s="46">
        <f t="shared" si="40"/>
        <v>1.865189388319689E-2</v>
      </c>
      <c r="V62" s="46">
        <f t="shared" si="40"/>
        <v>1.5630276266496854E-2</v>
      </c>
      <c r="W62" s="46">
        <f>((W9-W119)+(W19)-(W22-W27-W120))/(W8-W119)</f>
        <v>1.5798656363906993E-2</v>
      </c>
      <c r="X62" s="46">
        <f>((X9-X119)+(X19)-(X22-X27-X120))/(X8-X119)</f>
        <v>1.6359629879455519E-2</v>
      </c>
      <c r="Y62" s="46">
        <f>((Y9-Y119)+(Y19)-(Y22-Y27-Y120))/(Y8-Y119)</f>
        <v>1.6934987331300159E-2</v>
      </c>
      <c r="Z62" s="46">
        <f>((Z9-Z119)+(Z19)-(Z22-Z27-Z120))/(Z8-Z119)</f>
        <v>1.752472871944092E-2</v>
      </c>
    </row>
    <row r="63" spans="1:26" s="34" customFormat="1" ht="18.75" hidden="1" customHeight="1">
      <c r="A63" s="102" t="s">
        <v>113</v>
      </c>
      <c r="B63" s="260" t="s">
        <v>109</v>
      </c>
      <c r="C63" s="261"/>
      <c r="D63" s="261"/>
      <c r="E63" s="262"/>
      <c r="F63" s="39">
        <f t="shared" ref="F63:V63" si="43">(F9-F22+F19)/F8</f>
        <v>0.19582082321412619</v>
      </c>
      <c r="G63" s="52">
        <f t="shared" si="43"/>
        <v>0.20199205303823189</v>
      </c>
      <c r="H63" s="52">
        <f t="shared" si="43"/>
        <v>4.9747957938004315E-2</v>
      </c>
      <c r="I63" s="52">
        <f t="shared" si="43"/>
        <v>9.4861386185850133E-2</v>
      </c>
      <c r="J63" s="47">
        <f t="shared" si="43"/>
        <v>5.2085908132884308E-2</v>
      </c>
      <c r="K63" s="47">
        <f t="shared" si="43"/>
        <v>0.10798794675402332</v>
      </c>
      <c r="L63" s="47">
        <f t="shared" si="43"/>
        <v>4.3909552897298337E-2</v>
      </c>
      <c r="M63" s="47">
        <f>(M9-M22+M19)/M8</f>
        <v>-5.6442751483747659E-2</v>
      </c>
      <c r="N63" s="47">
        <f t="shared" ref="N63" si="44">(N9-N22+N19)/N8</f>
        <v>3.5534191143745994E-2</v>
      </c>
      <c r="O63" s="47">
        <f t="shared" si="43"/>
        <v>7.3934780773876968E-2</v>
      </c>
      <c r="P63" s="47">
        <f t="shared" si="43"/>
        <v>5.9727651401361853E-2</v>
      </c>
      <c r="Q63" s="47">
        <f t="shared" ref="Q63:R63" si="45">(Q9-Q22+Q19)/Q8</f>
        <v>0.13795081961703254</v>
      </c>
      <c r="R63" s="47">
        <f t="shared" si="45"/>
        <v>3.5806538399844143E-2</v>
      </c>
      <c r="S63" s="47">
        <f t="shared" si="43"/>
        <v>3.5559647210386312E-2</v>
      </c>
      <c r="T63" s="47">
        <f t="shared" si="43"/>
        <v>2.5695328556329045E-2</v>
      </c>
      <c r="U63" s="47">
        <f t="shared" si="43"/>
        <v>1.865189388319689E-2</v>
      </c>
      <c r="V63" s="47">
        <f t="shared" si="43"/>
        <v>1.5630276266496854E-2</v>
      </c>
      <c r="W63" s="47">
        <f>(W9-W22+W19)/W8</f>
        <v>1.5798656363906993E-2</v>
      </c>
      <c r="X63" s="47">
        <f>(X9-X22+X19)/X8</f>
        <v>1.6359629879455519E-2</v>
      </c>
      <c r="Y63" s="47">
        <f>(Y9-Y22+Y19)/Y8</f>
        <v>1.6934987331300159E-2</v>
      </c>
      <c r="Z63" s="47">
        <f>(Z9-Z22+Z19)/Z8</f>
        <v>1.752472871944092E-2</v>
      </c>
    </row>
    <row r="64" spans="1:26" ht="51.75" customHeight="1">
      <c r="A64" s="92" t="s">
        <v>40</v>
      </c>
      <c r="B64" s="258" t="s">
        <v>181</v>
      </c>
      <c r="C64" s="258"/>
      <c r="D64" s="258"/>
      <c r="E64" s="258"/>
      <c r="F64" s="19"/>
      <c r="G64" s="19"/>
      <c r="H64" s="19"/>
      <c r="I64" s="19"/>
      <c r="J64" s="46">
        <f>(F63+G63+H63)/3</f>
        <v>0.14918694473012079</v>
      </c>
      <c r="K64" s="46">
        <f>(G63+H63+I63)/3</f>
        <v>0.11553379905402879</v>
      </c>
      <c r="L64" s="46">
        <f>(G62+I62+J62)/3</f>
        <v>0.11631311578565544</v>
      </c>
      <c r="M64" s="46">
        <f>(G62+I62+J62)/3</f>
        <v>0.11631311578565544</v>
      </c>
      <c r="N64" s="46">
        <f>(I62+K62+L62)/3</f>
        <v>8.2252961945723915E-2</v>
      </c>
      <c r="O64" s="46">
        <f>(I62+K62+L62)/3</f>
        <v>8.2252961945723915E-2</v>
      </c>
      <c r="P64" s="46">
        <f>(K62+M62+N62)/3</f>
        <v>2.902646213800722E-2</v>
      </c>
      <c r="Q64" s="46">
        <f>(K62+M62+N62)/3</f>
        <v>2.902646213800722E-2</v>
      </c>
      <c r="R64" s="46">
        <f>(M62+O62+P62)/3</f>
        <v>2.5739893563830385E-2</v>
      </c>
      <c r="S64" s="46">
        <f>(M62+O62+P62)/3</f>
        <v>2.5739893563830385E-2</v>
      </c>
      <c r="T64" s="46">
        <f>(O62+Q62+R62)/3</f>
        <v>8.2564046263584545E-2</v>
      </c>
      <c r="U64" s="46">
        <f>(Q62+R62+T62)/3</f>
        <v>6.648422885773525E-2</v>
      </c>
      <c r="V64" s="46">
        <f>(R62+T62+U62)/3</f>
        <v>2.6717920279790027E-2</v>
      </c>
      <c r="W64" s="46">
        <f>(T62+U62+V62)/3</f>
        <v>1.9992499568674261E-2</v>
      </c>
      <c r="X64" s="46">
        <f t="shared" ref="X64:Z64" si="46">(U62+V62+W62)/3</f>
        <v>1.6693608837866913E-2</v>
      </c>
      <c r="Y64" s="46">
        <f>(V62+W62+X62)/3</f>
        <v>1.592952083661979E-2</v>
      </c>
      <c r="Z64" s="46">
        <f t="shared" si="46"/>
        <v>1.6364424524887556E-2</v>
      </c>
    </row>
    <row r="65" spans="1:31" ht="63.75" customHeight="1">
      <c r="A65" s="100" t="s">
        <v>127</v>
      </c>
      <c r="B65" s="23"/>
      <c r="C65" s="258" t="s">
        <v>178</v>
      </c>
      <c r="D65" s="258"/>
      <c r="E65" s="258"/>
      <c r="F65" s="19"/>
      <c r="G65" s="19"/>
      <c r="H65" s="19"/>
      <c r="I65" s="19"/>
      <c r="J65" s="46">
        <f>(F63+G63+I63)/3</f>
        <v>0.16422475414606941</v>
      </c>
      <c r="K65" s="46">
        <f>(G63+H63+J63)/3</f>
        <v>0.10127530636970684</v>
      </c>
      <c r="L65" s="46">
        <f>(G62+I62+K62)/3</f>
        <v>0.13494712865936842</v>
      </c>
      <c r="M65" s="46">
        <f>(G62+I62+K62)/3</f>
        <v>0.13494712865936842</v>
      </c>
      <c r="N65" s="46">
        <f>(I62+K62+M62)/3</f>
        <v>4.8802193818708574E-2</v>
      </c>
      <c r="O65" s="46">
        <f>(I62+K62+M62)/3</f>
        <v>4.8802193818708574E-2</v>
      </c>
      <c r="P65" s="46">
        <f>(K62+M62+O62)/3</f>
        <v>4.1826658681384209E-2</v>
      </c>
      <c r="Q65" s="46">
        <f>(K62+M62+O62)/3</f>
        <v>4.1826658681384209E-2</v>
      </c>
      <c r="R65" s="46">
        <f>(M62+O62+Q62)/3</f>
        <v>5.1814282969053944E-2</v>
      </c>
      <c r="S65" s="46">
        <f>(M62+O62+Q62)/3</f>
        <v>5.1814282969053944E-2</v>
      </c>
      <c r="T65" s="46">
        <f>(O62+Q62+S62)/3</f>
        <v>8.2481749200431942E-2</v>
      </c>
      <c r="U65" s="46">
        <f>(Q62+S62+T62)/3</f>
        <v>6.6401931794582633E-2</v>
      </c>
      <c r="V65" s="46">
        <f>(S62+T62+U62)/3</f>
        <v>2.6635623216637417E-2</v>
      </c>
      <c r="W65" s="46">
        <f>(T62+U62+V62)/3</f>
        <v>1.9992499568674261E-2</v>
      </c>
      <c r="X65" s="46">
        <f t="shared" ref="X65:Z65" si="47">(U62+V62+W62)/3</f>
        <v>1.6693608837866913E-2</v>
      </c>
      <c r="Y65" s="46">
        <f>(V62+W62+X62)/3</f>
        <v>1.592952083661979E-2</v>
      </c>
      <c r="Z65" s="46">
        <f t="shared" si="47"/>
        <v>1.6364424524887556E-2</v>
      </c>
    </row>
    <row r="66" spans="1:31" ht="60" customHeight="1">
      <c r="A66" s="92" t="s">
        <v>41</v>
      </c>
      <c r="B66" s="258" t="s">
        <v>179</v>
      </c>
      <c r="C66" s="258"/>
      <c r="D66" s="258"/>
      <c r="E66" s="258"/>
      <c r="F66" s="19"/>
      <c r="G66" s="19"/>
      <c r="H66" s="19"/>
      <c r="I66" s="19"/>
      <c r="J66" s="97" t="str">
        <f>IF(J61&lt;=J64,"tak","nie")</f>
        <v>tak</v>
      </c>
      <c r="K66" s="97" t="str">
        <f t="shared" ref="K66:V66" si="48">IF(K61&lt;=K64,"tak","nie")</f>
        <v>tak</v>
      </c>
      <c r="L66" s="97" t="str">
        <f t="shared" si="48"/>
        <v>tak</v>
      </c>
      <c r="M66" s="97" t="str">
        <f>IF(M61&lt;=M64,"tak","nie")</f>
        <v>tak</v>
      </c>
      <c r="N66" s="97" t="str">
        <f t="shared" ref="N66" si="49">IF(N61&lt;=N64,"tak","nie")</f>
        <v>tak</v>
      </c>
      <c r="O66" s="97" t="str">
        <f t="shared" si="48"/>
        <v>tak</v>
      </c>
      <c r="P66" s="97" t="str">
        <f t="shared" si="48"/>
        <v>tak</v>
      </c>
      <c r="Q66" s="97" t="str">
        <f t="shared" ref="Q66:R66" si="50">IF(Q61&lt;=Q64,"tak","nie")</f>
        <v>tak</v>
      </c>
      <c r="R66" s="97" t="str">
        <f t="shared" si="50"/>
        <v>tak</v>
      </c>
      <c r="S66" s="97" t="str">
        <f t="shared" si="48"/>
        <v>tak</v>
      </c>
      <c r="T66" s="97" t="str">
        <f t="shared" si="48"/>
        <v>tak</v>
      </c>
      <c r="U66" s="97" t="str">
        <f t="shared" si="48"/>
        <v>tak</v>
      </c>
      <c r="V66" s="97" t="str">
        <f t="shared" si="48"/>
        <v>tak</v>
      </c>
      <c r="W66" s="97" t="str">
        <f>IF(W61&lt;=W64,"tak","nie")</f>
        <v>tak</v>
      </c>
      <c r="X66" s="97" t="str">
        <f>IF(X61&lt;=X64,"tak","nie")</f>
        <v>tak</v>
      </c>
      <c r="Y66" s="97" t="str">
        <f>IF(Y61&lt;=Y64,"tak","nie")</f>
        <v>tak</v>
      </c>
      <c r="Z66" s="97" t="str">
        <f>IF(Z61&lt;=Z64,"tak","nie")</f>
        <v>tak</v>
      </c>
    </row>
    <row r="67" spans="1:31" ht="69" customHeight="1">
      <c r="A67" s="100" t="s">
        <v>42</v>
      </c>
      <c r="B67" s="23"/>
      <c r="C67" s="258" t="s">
        <v>180</v>
      </c>
      <c r="D67" s="258"/>
      <c r="E67" s="258"/>
      <c r="F67" s="19"/>
      <c r="G67" s="19"/>
      <c r="H67" s="19"/>
      <c r="I67" s="19"/>
      <c r="J67" s="97" t="str">
        <f>IF(J61&lt;=J65,"tak","nie")</f>
        <v>tak</v>
      </c>
      <c r="K67" s="97" t="str">
        <f t="shared" ref="K67:V67" si="51">IF(K61&lt;=K65,"tak","nie")</f>
        <v>tak</v>
      </c>
      <c r="L67" s="97" t="str">
        <f t="shared" si="51"/>
        <v>tak</v>
      </c>
      <c r="M67" s="97" t="str">
        <f>IF(M61&lt;=M65,"tak","nie")</f>
        <v>tak</v>
      </c>
      <c r="N67" s="97" t="str">
        <f t="shared" ref="N67" si="52">IF(N61&lt;=N65,"tak","nie")</f>
        <v>tak</v>
      </c>
      <c r="O67" s="97" t="str">
        <f t="shared" si="51"/>
        <v>tak</v>
      </c>
      <c r="P67" s="97" t="str">
        <f t="shared" si="51"/>
        <v>tak</v>
      </c>
      <c r="Q67" s="97" t="str">
        <f t="shared" ref="Q67:R67" si="53">IF(Q61&lt;=Q65,"tak","nie")</f>
        <v>tak</v>
      </c>
      <c r="R67" s="97" t="str">
        <f t="shared" si="53"/>
        <v>tak</v>
      </c>
      <c r="S67" s="97" t="str">
        <f t="shared" si="51"/>
        <v>tak</v>
      </c>
      <c r="T67" s="97" t="str">
        <f t="shared" si="51"/>
        <v>tak</v>
      </c>
      <c r="U67" s="97" t="str">
        <f t="shared" si="51"/>
        <v>tak</v>
      </c>
      <c r="V67" s="97" t="str">
        <f t="shared" si="51"/>
        <v>tak</v>
      </c>
      <c r="W67" s="97" t="str">
        <f>IF(W61&lt;=W65,"tak","nie")</f>
        <v>tak</v>
      </c>
      <c r="X67" s="97" t="str">
        <f>IF(X61&lt;=X65,"tak","nie")</f>
        <v>tak</v>
      </c>
      <c r="Y67" s="97" t="str">
        <f>IF(Y61&lt;=Y65,"tak","nie")</f>
        <v>tak</v>
      </c>
      <c r="Z67" s="97" t="str">
        <f>IF(Z61&lt;=Z65,"tak","nie")</f>
        <v>tak</v>
      </c>
    </row>
    <row r="68" spans="1:31" ht="20.25" customHeight="1">
      <c r="A68" s="259" t="s">
        <v>182</v>
      </c>
      <c r="B68" s="259"/>
      <c r="C68" s="259"/>
      <c r="D68" s="259"/>
      <c r="E68" s="259"/>
      <c r="F68" s="73"/>
      <c r="G68" s="73"/>
      <c r="H68" s="73"/>
      <c r="I68" s="73"/>
      <c r="J68" s="74">
        <v>0</v>
      </c>
      <c r="K68" s="74">
        <v>0</v>
      </c>
      <c r="L68" s="74">
        <v>0</v>
      </c>
      <c r="M68" s="74">
        <v>0</v>
      </c>
      <c r="N68" s="74">
        <v>0</v>
      </c>
      <c r="O68" s="74">
        <v>0</v>
      </c>
      <c r="P68" s="74">
        <v>0</v>
      </c>
      <c r="Q68" s="74">
        <v>0</v>
      </c>
      <c r="R68" s="171">
        <v>0</v>
      </c>
      <c r="S68" s="171">
        <v>0</v>
      </c>
      <c r="T68" s="74">
        <v>0</v>
      </c>
      <c r="U68" s="74">
        <v>0</v>
      </c>
      <c r="V68" s="74">
        <v>0</v>
      </c>
      <c r="W68" s="74">
        <f t="shared" ref="W68:Z68" si="54">W34</f>
        <v>4165219</v>
      </c>
      <c r="X68" s="74">
        <f t="shared" si="54"/>
        <v>4399219</v>
      </c>
      <c r="Y68" s="74">
        <f t="shared" si="54"/>
        <v>4639219</v>
      </c>
      <c r="Z68" s="74">
        <f t="shared" si="54"/>
        <v>4885219</v>
      </c>
    </row>
    <row r="69" spans="1:31" ht="15.75" customHeight="1">
      <c r="A69" s="258" t="s">
        <v>102</v>
      </c>
      <c r="B69" s="258"/>
      <c r="C69" s="258"/>
      <c r="D69" s="258"/>
      <c r="E69" s="258"/>
      <c r="F69" s="19"/>
      <c r="G69" s="19"/>
      <c r="H69" s="19"/>
      <c r="I69" s="19"/>
      <c r="J69" s="45">
        <v>0</v>
      </c>
      <c r="K69" s="45">
        <v>0</v>
      </c>
      <c r="L69" s="48">
        <v>0</v>
      </c>
      <c r="M69" s="48">
        <v>0</v>
      </c>
      <c r="N69" s="123">
        <v>0</v>
      </c>
      <c r="O69" s="44">
        <v>0</v>
      </c>
      <c r="P69" s="59">
        <v>0</v>
      </c>
      <c r="Q69" s="150">
        <v>0</v>
      </c>
      <c r="R69" s="224">
        <v>0</v>
      </c>
      <c r="S69" s="170">
        <v>0</v>
      </c>
      <c r="T69" s="84">
        <v>0</v>
      </c>
      <c r="U69" s="84">
        <v>0</v>
      </c>
      <c r="V69" s="121">
        <f>V68</f>
        <v>0</v>
      </c>
      <c r="W69" s="121">
        <f t="shared" ref="W69:Z69" si="55">W68</f>
        <v>4165219</v>
      </c>
      <c r="X69" s="121">
        <f t="shared" si="55"/>
        <v>4399219</v>
      </c>
      <c r="Y69" s="121">
        <f t="shared" si="55"/>
        <v>4639219</v>
      </c>
      <c r="Z69" s="121">
        <f t="shared" si="55"/>
        <v>4885219</v>
      </c>
    </row>
    <row r="70" spans="1:31" ht="18.75" customHeight="1">
      <c r="A70" s="259" t="s">
        <v>101</v>
      </c>
      <c r="B70" s="259"/>
      <c r="C70" s="259"/>
      <c r="D70" s="259"/>
      <c r="E70" s="259"/>
      <c r="F70" s="73"/>
      <c r="G70" s="73"/>
      <c r="H70" s="73"/>
      <c r="I70" s="73"/>
      <c r="J70" s="75"/>
      <c r="K70" s="75"/>
      <c r="L70" s="76"/>
      <c r="M70" s="76"/>
      <c r="N70" s="77"/>
      <c r="O70" s="77"/>
      <c r="P70" s="78"/>
      <c r="Q70" s="78"/>
      <c r="R70" s="172"/>
      <c r="S70" s="172"/>
      <c r="T70" s="78"/>
      <c r="U70" s="78"/>
      <c r="V70" s="78"/>
      <c r="W70" s="78"/>
      <c r="X70" s="78"/>
      <c r="Y70" s="78"/>
      <c r="Z70" s="78"/>
    </row>
    <row r="71" spans="1:31" s="141" customFormat="1" ht="15.75" customHeight="1">
      <c r="A71" s="159" t="s">
        <v>43</v>
      </c>
      <c r="B71" s="263" t="s">
        <v>44</v>
      </c>
      <c r="C71" s="263"/>
      <c r="D71" s="263"/>
      <c r="E71" s="263"/>
      <c r="F71" s="160">
        <f>124811848</f>
        <v>124811848</v>
      </c>
      <c r="G71" s="160">
        <f>133665672</f>
        <v>133665672</v>
      </c>
      <c r="H71" s="160">
        <f>139235211</f>
        <v>139235211</v>
      </c>
      <c r="I71" s="160">
        <f>141436396.31</f>
        <v>141436396.31</v>
      </c>
      <c r="J71" s="161">
        <v>142795379</v>
      </c>
      <c r="K71" s="161">
        <v>144525984</v>
      </c>
      <c r="L71" s="161">
        <v>144227774</v>
      </c>
      <c r="M71" s="161">
        <v>148387173</v>
      </c>
      <c r="N71" s="161">
        <v>154495256</v>
      </c>
      <c r="O71" s="162">
        <v>153559735.13</v>
      </c>
      <c r="P71" s="163">
        <v>154851739.30000001</v>
      </c>
      <c r="Q71" s="163">
        <v>155662049.83000001</v>
      </c>
      <c r="R71" s="163">
        <f>158827564.2-165559</f>
        <v>158662005.19999999</v>
      </c>
      <c r="S71" s="163">
        <v>159007535.19999999</v>
      </c>
      <c r="T71" s="219">
        <f>160578081.22+9978005</f>
        <v>170556086.22</v>
      </c>
      <c r="U71" s="219">
        <f>164188595+9978005</f>
        <v>174166600</v>
      </c>
      <c r="V71" s="219">
        <f>166259013+9978005</f>
        <v>176237018</v>
      </c>
      <c r="W71" s="219">
        <f>168249557+9978005</f>
        <v>178227562</v>
      </c>
      <c r="X71" s="161">
        <f t="shared" ref="X71:Z72" si="56">W71</f>
        <v>178227562</v>
      </c>
      <c r="Y71" s="161">
        <f t="shared" si="56"/>
        <v>178227562</v>
      </c>
      <c r="Z71" s="161">
        <f t="shared" si="56"/>
        <v>178227562</v>
      </c>
    </row>
    <row r="72" spans="1:31" s="141" customFormat="1" ht="21" customHeight="1">
      <c r="A72" s="166" t="s">
        <v>45</v>
      </c>
      <c r="B72" s="263" t="s">
        <v>183</v>
      </c>
      <c r="C72" s="263"/>
      <c r="D72" s="263"/>
      <c r="E72" s="263"/>
      <c r="F72" s="165"/>
      <c r="G72" s="165"/>
      <c r="H72" s="165"/>
      <c r="I72" s="165"/>
      <c r="J72" s="48">
        <f>20279619+621000+15000-184859+7179</f>
        <v>20737939</v>
      </c>
      <c r="K72" s="48">
        <v>19841558</v>
      </c>
      <c r="L72" s="48">
        <f>20817697+1061429</f>
        <v>21879126</v>
      </c>
      <c r="M72" s="48">
        <v>21237013</v>
      </c>
      <c r="N72" s="48">
        <f>21675635+612873</f>
        <v>22288508</v>
      </c>
      <c r="O72" s="130">
        <f>21106455.56+682055.63</f>
        <v>21788511.189999998</v>
      </c>
      <c r="P72" s="139">
        <f>22625641+628180</f>
        <v>23253821</v>
      </c>
      <c r="Q72" s="139">
        <f>22028046.15+592443.4</f>
        <v>22620489.549999997</v>
      </c>
      <c r="R72" s="139">
        <f>23484103+1009378</f>
        <v>24493481</v>
      </c>
      <c r="S72" s="139">
        <f>23621042+876529</f>
        <v>24497571</v>
      </c>
      <c r="T72" s="122">
        <v>23929419</v>
      </c>
      <c r="U72" s="122">
        <v>23341162</v>
      </c>
      <c r="V72" s="122">
        <v>23562272</v>
      </c>
      <c r="W72" s="161">
        <v>23786146</v>
      </c>
      <c r="X72" s="161">
        <f t="shared" si="56"/>
        <v>23786146</v>
      </c>
      <c r="Y72" s="161">
        <f t="shared" si="56"/>
        <v>23786146</v>
      </c>
      <c r="Z72" s="161">
        <f t="shared" si="56"/>
        <v>23786146</v>
      </c>
    </row>
    <row r="73" spans="1:31" ht="15.75" customHeight="1">
      <c r="A73" s="92" t="s">
        <v>46</v>
      </c>
      <c r="B73" s="258" t="s">
        <v>128</v>
      </c>
      <c r="C73" s="258"/>
      <c r="D73" s="258"/>
      <c r="E73" s="258"/>
      <c r="F73" s="19"/>
      <c r="G73" s="41">
        <f>26766776</f>
        <v>26766776</v>
      </c>
      <c r="H73" s="41">
        <f>173544418</f>
        <v>173544418</v>
      </c>
      <c r="I73" s="83">
        <f>61382188.83</f>
        <v>61382188.829999998</v>
      </c>
      <c r="J73" s="45">
        <f t="shared" ref="J73:Z73" si="57">J74+J75</f>
        <v>175155744</v>
      </c>
      <c r="K73" s="48">
        <f t="shared" si="57"/>
        <v>159885859</v>
      </c>
      <c r="L73" s="45">
        <f t="shared" si="57"/>
        <v>83408292</v>
      </c>
      <c r="M73" s="45">
        <f t="shared" si="57"/>
        <v>65686603</v>
      </c>
      <c r="N73" s="45">
        <f t="shared" ref="N73" si="58">N74+N75</f>
        <v>23942632</v>
      </c>
      <c r="O73" s="132">
        <f t="shared" si="57"/>
        <v>26299663.399999999</v>
      </c>
      <c r="P73" s="139">
        <f t="shared" si="57"/>
        <v>27334790</v>
      </c>
      <c r="Q73" s="139">
        <f t="shared" ref="Q73:R73" si="59">Q74+Q75</f>
        <v>18209271.66</v>
      </c>
      <c r="R73" s="139">
        <f t="shared" si="59"/>
        <v>31775136</v>
      </c>
      <c r="S73" s="139">
        <f t="shared" si="57"/>
        <v>25567857</v>
      </c>
      <c r="T73" s="122">
        <f t="shared" si="57"/>
        <v>78700302</v>
      </c>
      <c r="U73" s="122">
        <f t="shared" si="57"/>
        <v>29044321</v>
      </c>
      <c r="V73" s="122">
        <f t="shared" si="57"/>
        <v>6332302</v>
      </c>
      <c r="W73" s="48">
        <f t="shared" si="57"/>
        <v>0</v>
      </c>
      <c r="X73" s="48">
        <f t="shared" si="57"/>
        <v>0</v>
      </c>
      <c r="Y73" s="48">
        <f t="shared" si="57"/>
        <v>0</v>
      </c>
      <c r="Z73" s="48">
        <f t="shared" si="57"/>
        <v>0</v>
      </c>
    </row>
    <row r="74" spans="1:31" ht="14.25">
      <c r="A74" s="22" t="s">
        <v>47</v>
      </c>
      <c r="B74" s="24"/>
      <c r="C74" s="30"/>
      <c r="D74" s="31"/>
      <c r="E74" s="53" t="s">
        <v>48</v>
      </c>
      <c r="F74" s="10"/>
      <c r="G74" s="41">
        <f>1690557</f>
        <v>1690557</v>
      </c>
      <c r="H74" s="41">
        <f>5211188</f>
        <v>5211188</v>
      </c>
      <c r="I74" s="83">
        <f>2377384.41</f>
        <v>2377384.41</v>
      </c>
      <c r="J74" s="49">
        <v>5074633</v>
      </c>
      <c r="K74" s="49">
        <v>3584409</v>
      </c>
      <c r="L74" s="45">
        <v>4224807</v>
      </c>
      <c r="M74" s="45">
        <v>3337547</v>
      </c>
      <c r="N74" s="123">
        <v>1961271</v>
      </c>
      <c r="O74" s="136">
        <v>1662567.65</v>
      </c>
      <c r="P74" s="139">
        <v>3009067</v>
      </c>
      <c r="Q74" s="139">
        <v>2874864.69</v>
      </c>
      <c r="R74" s="139">
        <v>3291522</v>
      </c>
      <c r="S74" s="139">
        <v>3294172</v>
      </c>
      <c r="T74" s="122">
        <v>3518734</v>
      </c>
      <c r="U74" s="122">
        <v>1980477</v>
      </c>
      <c r="V74" s="122">
        <v>1332302</v>
      </c>
      <c r="W74" s="48">
        <v>0</v>
      </c>
      <c r="X74" s="48">
        <v>0</v>
      </c>
      <c r="Y74" s="48">
        <v>0</v>
      </c>
      <c r="Z74" s="48">
        <v>0</v>
      </c>
    </row>
    <row r="75" spans="1:31" ht="14.25">
      <c r="A75" s="22" t="s">
        <v>49</v>
      </c>
      <c r="B75" s="24"/>
      <c r="C75" s="30"/>
      <c r="D75" s="31"/>
      <c r="E75" s="10" t="s">
        <v>50</v>
      </c>
      <c r="F75" s="10"/>
      <c r="G75" s="41">
        <f>25076219</f>
        <v>25076219</v>
      </c>
      <c r="H75" s="41">
        <f>168333230</f>
        <v>168333230</v>
      </c>
      <c r="I75" s="83">
        <f>59004804.42</f>
        <v>59004804.420000002</v>
      </c>
      <c r="J75" s="49">
        <v>170081111</v>
      </c>
      <c r="K75" s="49">
        <v>156301450</v>
      </c>
      <c r="L75" s="45">
        <v>79183485</v>
      </c>
      <c r="M75" s="45">
        <f>61845266+503790</f>
        <v>62349056</v>
      </c>
      <c r="N75" s="123">
        <v>21981361</v>
      </c>
      <c r="O75" s="136">
        <v>24637095.75</v>
      </c>
      <c r="P75" s="139">
        <v>24325723</v>
      </c>
      <c r="Q75" s="139">
        <v>15334406.970000001</v>
      </c>
      <c r="R75" s="139">
        <v>28483614</v>
      </c>
      <c r="S75" s="139">
        <v>22273685</v>
      </c>
      <c r="T75" s="122">
        <v>75181568</v>
      </c>
      <c r="U75" s="122">
        <v>27063844</v>
      </c>
      <c r="V75" s="122">
        <v>5000000</v>
      </c>
      <c r="W75" s="48">
        <v>0</v>
      </c>
      <c r="X75" s="48">
        <v>0</v>
      </c>
      <c r="Y75" s="48">
        <v>0</v>
      </c>
      <c r="Z75" s="48">
        <v>0</v>
      </c>
      <c r="AA75" s="138"/>
      <c r="AB75" s="138"/>
      <c r="AC75" s="42"/>
      <c r="AD75" s="42"/>
      <c r="AE75" s="42"/>
    </row>
    <row r="76" spans="1:31" ht="15.75" customHeight="1">
      <c r="A76" s="10" t="s">
        <v>51</v>
      </c>
      <c r="B76" s="258" t="s">
        <v>184</v>
      </c>
      <c r="C76" s="258"/>
      <c r="D76" s="258"/>
      <c r="E76" s="258"/>
      <c r="F76" s="19"/>
      <c r="G76" s="19"/>
      <c r="H76" s="19"/>
      <c r="I76" s="19"/>
      <c r="J76" s="45">
        <f>J75-50000-200000-20141-31980-30000</f>
        <v>169748990</v>
      </c>
      <c r="K76" s="48">
        <f>K33-K77</f>
        <v>157979792</v>
      </c>
      <c r="L76" s="45">
        <f>L75-100000-500000-20000-20000-30000-30000-50000-48000</f>
        <v>78385485</v>
      </c>
      <c r="M76" s="45">
        <f>M75-100000-500000-20000-20000-30000-30000-50000-48000</f>
        <v>61551056</v>
      </c>
      <c r="N76" s="45">
        <f>N75-100000-44750-70000-50000-50000-80000-90000-20000+9259661-30000-50000-15867-180000-10478</f>
        <v>30449927</v>
      </c>
      <c r="O76" s="130">
        <f>O75-8677.99-521660.71-205224-48585-15867-20000-19889-155000-29889-23542.2</f>
        <v>23588760.850000001</v>
      </c>
      <c r="P76" s="139">
        <f>P75-20000-1000000-200000-800000-50000-357584-10000-10000-200000-100000-100000-50000-50000+18750-30000-600000-44600-110000-179000-40000-20000-15000-20000-45000-30000-10000</f>
        <v>20253289</v>
      </c>
      <c r="Q76" s="175">
        <f>Q75-20000-1000000-200000-800000-50000-357584-10000-10000-200000-100000-100000-50000-50000+18750-30000-600000-44600-110000-179000-40000-20000-15000-20000-45000-30000-10000</f>
        <v>11261972.970000001</v>
      </c>
      <c r="R76" s="139">
        <f>R75-30448-4590-70000-50000-50000-40000-5000-100000-95000-40000-40000-100000-5200-5200-15000-10000-10000-10000-30000-12054-5200</f>
        <v>27755922</v>
      </c>
      <c r="S76" s="139">
        <f>S75-30448-4590-70000-50000-50000-40000-5000-100000-95000-40000-40000-100000-5200-5200-15000-10000-10000-10000-30000-12054-5200+19095-5000-5000+50000+100000+10000+100000</f>
        <v>21815088</v>
      </c>
      <c r="T76" s="122">
        <f>T75-2675007-289300-100000</f>
        <v>72117261</v>
      </c>
      <c r="U76" s="122">
        <f>U75-7300</f>
        <v>27056544</v>
      </c>
      <c r="V76" s="122">
        <f>V75</f>
        <v>5000000</v>
      </c>
      <c r="W76" s="48">
        <v>0</v>
      </c>
      <c r="X76" s="48">
        <v>0</v>
      </c>
      <c r="Y76" s="48">
        <v>0</v>
      </c>
      <c r="Z76" s="48">
        <v>0</v>
      </c>
      <c r="AA76" s="176"/>
      <c r="AB76" s="142"/>
      <c r="AC76" s="42"/>
    </row>
    <row r="77" spans="1:31" ht="15.75" customHeight="1">
      <c r="A77" s="10" t="s">
        <v>52</v>
      </c>
      <c r="B77" s="258" t="s">
        <v>185</v>
      </c>
      <c r="C77" s="258"/>
      <c r="D77" s="258"/>
      <c r="E77" s="258"/>
      <c r="F77" s="19"/>
      <c r="G77" s="19"/>
      <c r="H77" s="19"/>
      <c r="I77" s="19"/>
      <c r="J77" s="45">
        <f>J33-J76-1944292</f>
        <v>5372091</v>
      </c>
      <c r="K77" s="48">
        <f>171629+5903020-1790322</f>
        <v>4284327</v>
      </c>
      <c r="L77" s="45">
        <f>L33-L76-3783631</f>
        <v>8527521</v>
      </c>
      <c r="M77" s="45">
        <f>M33-M76-3062374</f>
        <v>7430061</v>
      </c>
      <c r="N77" s="45">
        <f>N33-N76-1545115-15000-65000-6000+54207-85600-60973-71000-872950-58000</f>
        <v>7527102</v>
      </c>
      <c r="O77" s="132">
        <f>O33-O76-2900104.56</f>
        <v>14765066.349999996</v>
      </c>
      <c r="P77" s="139">
        <f>P33-P76-55000-1000000-200000-265000-500000-300000-4500-7000-70600-7000+25000-6760-179000-63000-100000-36654-150000-162806-15000+3445-88564-66816-50000-8000-50320-84318-25000-1280000-20000-40594</f>
        <v>9968876</v>
      </c>
      <c r="Q77" s="175">
        <f>Q33-Q76-55000-1000000-200000-265000-500000-300000-4500-7000-70600-7000+25000-6760-179000-63000-100000-36654-150000-162806-15000+3445-88564-66816-50000-8000-50320-84318-25000-1280000-20000-40594</f>
        <v>9655471.839999998</v>
      </c>
      <c r="R77" s="139">
        <f>R33-R76-300000-200000-40000-4600-50000-50000-10000-19925.8-186000-60000-6800-5373+4568+10302-(30416)-600000-36609-4590-200000-72851-34772-212065-6794-4266+17020-9000-10000-15000</f>
        <v>9154553.1999999993</v>
      </c>
      <c r="S77" s="139">
        <f>S33-S76-300000-200000-40000-4600-50000-50000-10000-19925.8-186000-60000-6800-5373+4568+10302-(30416)-600000-36609-4590-200000-72851-34772-212065-6794-4266+17020-9000-10000-15000-432720-7488-247000-165000</f>
        <v>8351288.1999999993</v>
      </c>
      <c r="T77" s="122">
        <f>T33-T76-2200000+1038400+20000+150000</f>
        <v>8449413</v>
      </c>
      <c r="U77" s="122">
        <f t="shared" ref="U77:Z77" si="60">U33-U76-700000</f>
        <v>1232206</v>
      </c>
      <c r="V77" s="122">
        <f t="shared" si="60"/>
        <v>1224906</v>
      </c>
      <c r="W77" s="122">
        <f t="shared" si="60"/>
        <v>1724906</v>
      </c>
      <c r="X77" s="122">
        <f t="shared" si="60"/>
        <v>1724906</v>
      </c>
      <c r="Y77" s="122">
        <f t="shared" si="60"/>
        <v>1724906</v>
      </c>
      <c r="Z77" s="122">
        <f t="shared" si="60"/>
        <v>1724906</v>
      </c>
      <c r="AA77" s="142"/>
    </row>
    <row r="78" spans="1:31" ht="15.75" customHeight="1">
      <c r="A78" s="10" t="s">
        <v>53</v>
      </c>
      <c r="B78" s="263" t="s">
        <v>54</v>
      </c>
      <c r="C78" s="263"/>
      <c r="D78" s="263"/>
      <c r="E78" s="263"/>
      <c r="F78" s="21"/>
      <c r="G78" s="21"/>
      <c r="H78" s="21"/>
      <c r="I78" s="21"/>
      <c r="J78" s="45">
        <v>2397005</v>
      </c>
      <c r="K78" s="45">
        <v>2081085</v>
      </c>
      <c r="L78" s="45">
        <f>555328-162440+62000+45000+850000+150000+36000+80000+110902+220000+100000+5000+30000</f>
        <v>2081790</v>
      </c>
      <c r="M78" s="45">
        <v>2010028</v>
      </c>
      <c r="N78" s="123">
        <f>470487+260000+660000+56282+41010+324390+36000+35000+9259661+136000</f>
        <v>11278830</v>
      </c>
      <c r="O78" s="136">
        <v>11383971.43</v>
      </c>
      <c r="P78" s="130">
        <f>1050000+15000+36000+1800000+451250-36000+32500-400000+150000+531377+54000</f>
        <v>3684127</v>
      </c>
      <c r="Q78" s="130">
        <v>3370627.45</v>
      </c>
      <c r="R78" s="139">
        <f>499506+60000+142000+304000+500000+25000+325000+11770+500000+24000-160+49200+50000+52000+95163+69850+4837+50000+30000</f>
        <v>2792166</v>
      </c>
      <c r="S78" s="139">
        <f>499506+60000+142000+304000+500000+25000+325000+11770+500000+24000-160+49200+50000+52000+95163+69850+4837+50000+30000+51700+28000+9600</f>
        <v>2881466</v>
      </c>
      <c r="T78" s="122">
        <v>1161600</v>
      </c>
      <c r="U78" s="122">
        <v>0</v>
      </c>
      <c r="V78" s="122">
        <v>0</v>
      </c>
      <c r="W78" s="48">
        <v>0</v>
      </c>
      <c r="X78" s="48">
        <v>0</v>
      </c>
      <c r="Y78" s="48">
        <v>0</v>
      </c>
      <c r="Z78" s="48">
        <v>0</v>
      </c>
      <c r="AA78" s="138"/>
    </row>
    <row r="79" spans="1:31" ht="30" customHeight="1">
      <c r="A79" s="71" t="s">
        <v>55</v>
      </c>
      <c r="B79" s="259" t="s">
        <v>114</v>
      </c>
      <c r="C79" s="259"/>
      <c r="D79" s="259"/>
      <c r="E79" s="259"/>
      <c r="F79" s="73"/>
      <c r="G79" s="73"/>
      <c r="H79" s="73"/>
      <c r="I79" s="73"/>
      <c r="J79" s="75"/>
      <c r="K79" s="75"/>
      <c r="L79" s="76"/>
      <c r="M79" s="76"/>
      <c r="N79" s="77"/>
      <c r="O79" s="77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42"/>
    </row>
    <row r="80" spans="1:31" ht="31.5" customHeight="1">
      <c r="A80" s="10" t="s">
        <v>56</v>
      </c>
      <c r="B80" s="258" t="s">
        <v>57</v>
      </c>
      <c r="C80" s="258"/>
      <c r="D80" s="258"/>
      <c r="E80" s="258"/>
      <c r="F80" s="41">
        <f>0</f>
        <v>0</v>
      </c>
      <c r="G80" s="41">
        <f>0</f>
        <v>0</v>
      </c>
      <c r="H80" s="41">
        <f>0</f>
        <v>0</v>
      </c>
      <c r="I80" s="41">
        <f>0</f>
        <v>0</v>
      </c>
      <c r="J80" s="48">
        <f>4690745</f>
        <v>4690745</v>
      </c>
      <c r="K80" s="48">
        <v>3135776</v>
      </c>
      <c r="L80" s="44">
        <v>3818158</v>
      </c>
      <c r="M80" s="120">
        <v>3887905</v>
      </c>
      <c r="N80" s="123">
        <f>610696+32511+765-17136+7007+42538+2145+11167+1652+9369+582189+25500+20567+113826+156138-13217+850+150-4267+191291</f>
        <v>1773741</v>
      </c>
      <c r="O80" s="130">
        <v>2299749.27</v>
      </c>
      <c r="P80" s="164">
        <f>964518+77444+338370+24891+11653+59728+25882+466198+172406+304097</f>
        <v>2445187</v>
      </c>
      <c r="Q80" s="130">
        <v>2733327.17</v>
      </c>
      <c r="R80" s="122">
        <f>958031-7233+11622+268960+174013+1855+212033+108363+517414</f>
        <v>2245058</v>
      </c>
      <c r="S80" s="122">
        <f>958031-7233+11622+268960+174013+1855+212033+108363+517414+383753</f>
        <v>2628811</v>
      </c>
      <c r="T80" s="122">
        <v>2697853</v>
      </c>
      <c r="U80" s="121">
        <v>1689537</v>
      </c>
      <c r="V80" s="234">
        <v>1223598</v>
      </c>
      <c r="W80" s="115">
        <v>0</v>
      </c>
      <c r="X80" s="115">
        <v>0</v>
      </c>
      <c r="Y80" s="115">
        <v>0</v>
      </c>
      <c r="Z80" s="115">
        <v>0</v>
      </c>
    </row>
    <row r="81" spans="1:27" ht="19.5" customHeight="1">
      <c r="A81" s="10" t="s">
        <v>58</v>
      </c>
      <c r="B81" s="256"/>
      <c r="C81" s="256"/>
      <c r="D81" s="258" t="s">
        <v>59</v>
      </c>
      <c r="E81" s="258"/>
      <c r="F81" s="41">
        <f>2251119</f>
        <v>2251119</v>
      </c>
      <c r="G81" s="41">
        <f>1997209</f>
        <v>1997209</v>
      </c>
      <c r="H81" s="41">
        <f>4534303</f>
        <v>4534303</v>
      </c>
      <c r="I81" s="41">
        <f>2918337.2</f>
        <v>2918337.2</v>
      </c>
      <c r="J81" s="44">
        <f>4382994</f>
        <v>4382994</v>
      </c>
      <c r="K81" s="48">
        <v>2877416</v>
      </c>
      <c r="L81" s="44">
        <v>3543396</v>
      </c>
      <c r="M81" s="48">
        <v>3678255</v>
      </c>
      <c r="N81" s="123">
        <f>589117+32511-17136+42538+2145+11167+9369+539947+25500+20567+113826+156138-13217+850-4267+191291</f>
        <v>1700346</v>
      </c>
      <c r="O81" s="130">
        <v>2228786.19</v>
      </c>
      <c r="P81" s="164">
        <f>950103+77444+338370+24891+16453-4295+59728+25882+466198+172406+304097</f>
        <v>2431277</v>
      </c>
      <c r="Q81" s="130">
        <v>2726892.09</v>
      </c>
      <c r="R81" s="122">
        <f>935677-7233+10976+245824+132934+23252+1855+212033+108363+517414</f>
        <v>2181095</v>
      </c>
      <c r="S81" s="122">
        <f>935677-7233+10976+245824+132934+23252+1855+212033+108363+517414+383753</f>
        <v>2564848</v>
      </c>
      <c r="T81" s="122">
        <v>2588785</v>
      </c>
      <c r="U81" s="121">
        <v>1633815</v>
      </c>
      <c r="V81" s="234">
        <v>1205183</v>
      </c>
      <c r="W81" s="115">
        <v>0</v>
      </c>
      <c r="X81" s="115">
        <v>0</v>
      </c>
      <c r="Y81" s="115">
        <v>0</v>
      </c>
      <c r="Z81" s="115">
        <v>0</v>
      </c>
    </row>
    <row r="82" spans="1:27" ht="36">
      <c r="A82" s="10" t="s">
        <v>60</v>
      </c>
      <c r="B82" s="264"/>
      <c r="C82" s="246"/>
      <c r="D82" s="32"/>
      <c r="E82" s="17" t="s">
        <v>61</v>
      </c>
      <c r="F82" s="41">
        <f>0</f>
        <v>0</v>
      </c>
      <c r="G82" s="41">
        <f>0</f>
        <v>0</v>
      </c>
      <c r="H82" s="41">
        <f>0</f>
        <v>0</v>
      </c>
      <c r="I82" s="41">
        <f>0</f>
        <v>0</v>
      </c>
      <c r="J82" s="58">
        <f>J81</f>
        <v>4382994</v>
      </c>
      <c r="K82" s="48">
        <v>2877416</v>
      </c>
      <c r="L82" s="60">
        <v>3543396</v>
      </c>
      <c r="M82" s="48">
        <v>3678255</v>
      </c>
      <c r="N82" s="48">
        <f>589117+32511-17136+42538+2145+11167+9369+539947+25500-13217+850-4267+191291</f>
        <v>1409815</v>
      </c>
      <c r="O82" s="130">
        <v>2228786.19</v>
      </c>
      <c r="P82" s="164">
        <f>950103+77444+338370+24891+16453-4295+59728+25882+466198+172406+304097</f>
        <v>2431277</v>
      </c>
      <c r="Q82" s="130">
        <v>2726892.09</v>
      </c>
      <c r="R82" s="122">
        <f>935677-83200-10640-7233+83200+1855+108363+2701</f>
        <v>1030723</v>
      </c>
      <c r="S82" s="122">
        <v>1666382</v>
      </c>
      <c r="T82" s="122">
        <v>1780888</v>
      </c>
      <c r="U82" s="122">
        <v>664212</v>
      </c>
      <c r="V82" s="48">
        <v>72122</v>
      </c>
      <c r="W82" s="115">
        <v>0</v>
      </c>
      <c r="X82" s="115">
        <v>0</v>
      </c>
      <c r="Y82" s="115">
        <v>0</v>
      </c>
      <c r="Z82" s="115">
        <v>0</v>
      </c>
    </row>
    <row r="83" spans="1:27" ht="31.5" customHeight="1">
      <c r="A83" s="10" t="s">
        <v>62</v>
      </c>
      <c r="B83" s="258" t="s">
        <v>63</v>
      </c>
      <c r="C83" s="258"/>
      <c r="D83" s="258"/>
      <c r="E83" s="258"/>
      <c r="F83" s="41">
        <f>0</f>
        <v>0</v>
      </c>
      <c r="G83" s="41">
        <f>0</f>
        <v>0</v>
      </c>
      <c r="H83" s="41">
        <f>0</f>
        <v>0</v>
      </c>
      <c r="I83" s="41">
        <f>0</f>
        <v>0</v>
      </c>
      <c r="J83" s="44">
        <f>90994593-10061915</f>
        <v>80932678</v>
      </c>
      <c r="K83" s="48">
        <v>49106007</v>
      </c>
      <c r="L83" s="44">
        <f>41287000+11099192-15528173+563952-1302619+306000+357159+274297+1793060</f>
        <v>38849868</v>
      </c>
      <c r="M83" s="120">
        <v>39002272</v>
      </c>
      <c r="N83" s="123">
        <f>16462508+651944-604423+882400+9259661</f>
        <v>26652090</v>
      </c>
      <c r="O83" s="130">
        <v>30937500.859999999</v>
      </c>
      <c r="P83" s="164">
        <f>1370110+1411836+899212+2742677+140032+273678+1211804</f>
        <v>8049349</v>
      </c>
      <c r="Q83" s="139">
        <v>19086347.920000002</v>
      </c>
      <c r="R83" s="48">
        <f>1622590+7233+2000000+4590-186538+123733</f>
        <v>3571608</v>
      </c>
      <c r="S83" s="48">
        <f>1622590+7233+2000000+4590-186538+123733-2969675</f>
        <v>601933</v>
      </c>
      <c r="T83" s="48">
        <v>15717208</v>
      </c>
      <c r="U83" s="234">
        <v>7165600</v>
      </c>
      <c r="V83" s="234">
        <v>0</v>
      </c>
      <c r="W83" s="115">
        <v>0</v>
      </c>
      <c r="X83" s="115">
        <v>0</v>
      </c>
      <c r="Y83" s="115">
        <v>0</v>
      </c>
      <c r="Z83" s="115">
        <v>0</v>
      </c>
    </row>
    <row r="84" spans="1:27" ht="21" customHeight="1">
      <c r="A84" s="10" t="s">
        <v>64</v>
      </c>
      <c r="B84" s="256"/>
      <c r="C84" s="256"/>
      <c r="D84" s="258" t="s">
        <v>59</v>
      </c>
      <c r="E84" s="258"/>
      <c r="F84" s="41">
        <f>14193778</f>
        <v>14193778</v>
      </c>
      <c r="G84" s="41">
        <f>21651929</f>
        <v>21651929</v>
      </c>
      <c r="H84" s="41">
        <f>63987540</f>
        <v>63987540</v>
      </c>
      <c r="I84" s="41">
        <f>39343648.77</f>
        <v>39343648.770000003</v>
      </c>
      <c r="J84" s="44">
        <f>75854593-10061915</f>
        <v>65792678</v>
      </c>
      <c r="K84" s="48">
        <v>40788484</v>
      </c>
      <c r="L84" s="44">
        <f>32349787+274297+1793060</f>
        <v>34417144</v>
      </c>
      <c r="M84" s="48">
        <v>28771113</v>
      </c>
      <c r="N84" s="48">
        <f>15062508+637168+7386+7390-14776-604423+882400+9259661</f>
        <v>25237314</v>
      </c>
      <c r="O84" s="130">
        <v>30922724.649999999</v>
      </c>
      <c r="P84" s="164">
        <f>1370110+1411836+899212+2742677+140032+273678+1211804</f>
        <v>8049349</v>
      </c>
      <c r="Q84" s="139">
        <v>19086347.920000002</v>
      </c>
      <c r="R84" s="48">
        <f>1622590+7233+2000000+4195-186538+123733</f>
        <v>3571213</v>
      </c>
      <c r="S84" s="48">
        <f>1622590+7233+2000000+4195-186538+123733-2969675</f>
        <v>601538</v>
      </c>
      <c r="T84" s="48">
        <v>15404555</v>
      </c>
      <c r="U84" s="234">
        <v>7164972</v>
      </c>
      <c r="V84" s="234">
        <v>0</v>
      </c>
      <c r="W84" s="115">
        <v>0</v>
      </c>
      <c r="X84" s="115">
        <v>0</v>
      </c>
      <c r="Y84" s="115">
        <v>0</v>
      </c>
      <c r="Z84" s="115">
        <v>0</v>
      </c>
      <c r="AA84" s="138"/>
    </row>
    <row r="85" spans="1:27" ht="36">
      <c r="A85" s="10" t="s">
        <v>65</v>
      </c>
      <c r="B85" s="264"/>
      <c r="C85" s="246"/>
      <c r="D85" s="32"/>
      <c r="E85" s="17" t="s">
        <v>66</v>
      </c>
      <c r="F85" s="41">
        <f>0</f>
        <v>0</v>
      </c>
      <c r="G85" s="41">
        <f>0</f>
        <v>0</v>
      </c>
      <c r="H85" s="41">
        <f>0</f>
        <v>0</v>
      </c>
      <c r="I85" s="41">
        <f>0</f>
        <v>0</v>
      </c>
      <c r="J85" s="48">
        <f>J84</f>
        <v>65792678</v>
      </c>
      <c r="K85" s="48">
        <v>40788484</v>
      </c>
      <c r="L85" s="48">
        <f>32043787+274297+1793060</f>
        <v>34111144</v>
      </c>
      <c r="M85" s="48">
        <v>28771113</v>
      </c>
      <c r="N85" s="48">
        <f>15062508+637168+7386+7390-14776-604423+882400+9259661</f>
        <v>25237314</v>
      </c>
      <c r="O85" s="130">
        <v>30922724.649999999</v>
      </c>
      <c r="P85" s="164">
        <f>P84</f>
        <v>8049349</v>
      </c>
      <c r="Q85" s="139">
        <v>19086347.920000002</v>
      </c>
      <c r="R85" s="48">
        <f>1113892+7233+262790+245908-186538</f>
        <v>1443285</v>
      </c>
      <c r="S85" s="48">
        <f>601358-123733</f>
        <v>477625</v>
      </c>
      <c r="T85" s="48">
        <v>12879120</v>
      </c>
      <c r="U85" s="234">
        <v>6255989</v>
      </c>
      <c r="V85" s="234">
        <f t="shared" ref="V85" si="61">V84-0</f>
        <v>0</v>
      </c>
      <c r="W85" s="115">
        <f t="shared" ref="W85:Z85" si="62">W84-0</f>
        <v>0</v>
      </c>
      <c r="X85" s="115">
        <f t="shared" si="62"/>
        <v>0</v>
      </c>
      <c r="Y85" s="115">
        <f t="shared" si="62"/>
        <v>0</v>
      </c>
      <c r="Z85" s="115">
        <f t="shared" si="62"/>
        <v>0</v>
      </c>
    </row>
    <row r="86" spans="1:27" ht="31.5" customHeight="1">
      <c r="A86" s="10" t="s">
        <v>67</v>
      </c>
      <c r="B86" s="258" t="s">
        <v>68</v>
      </c>
      <c r="C86" s="258"/>
      <c r="D86" s="258"/>
      <c r="E86" s="258"/>
      <c r="F86" s="41">
        <f>0</f>
        <v>0</v>
      </c>
      <c r="G86" s="41">
        <f>0</f>
        <v>0</v>
      </c>
      <c r="H86" s="41">
        <f>0</f>
        <v>0</v>
      </c>
      <c r="I86" s="41">
        <f>0</f>
        <v>0</v>
      </c>
      <c r="J86" s="48">
        <f>5074633+261355</f>
        <v>5335988</v>
      </c>
      <c r="K86" s="103"/>
      <c r="L86" s="48">
        <v>4704116</v>
      </c>
      <c r="M86" s="48">
        <v>3808863</v>
      </c>
      <c r="N86" s="48">
        <f>1781257+18900-27293+30595+1894+1803+33993+1021+1065+44393+2706+6369+11463+1652+9369-22234+11100+459+321+113826+20567+156138+226+12-13217-2332</f>
        <v>2184053</v>
      </c>
      <c r="O86" s="130">
        <v>1864615.51</v>
      </c>
      <c r="P86" s="130">
        <f>1923553+106952+263721+243090+6+6180+96807+11653+33326+448+466198+25882-448+8230+134197+36</f>
        <v>3319831</v>
      </c>
      <c r="Q86" s="130">
        <v>3168513.5</v>
      </c>
      <c r="R86" s="122">
        <f>2417767+7553+4332+12948+73372-12480+130085+2069+11622+18500+1291+245824+30836+35319+6237+132934+15657+23252+2188+13670+1855+68544+2640+53056+5000+41920</f>
        <v>3345991</v>
      </c>
      <c r="S86" s="122">
        <f>2417767+7553+4332+12948+73372-12480+130085+2069+11622+18500+1291+245824+30836+35319+6237+132934+15657+23252+2188+13670+1855+68544+2640+53056+5000+41920+2650+7397</f>
        <v>3356038</v>
      </c>
      <c r="T86" s="122">
        <v>3534690</v>
      </c>
      <c r="U86" s="122">
        <v>1980477</v>
      </c>
      <c r="V86" s="48">
        <v>1332302</v>
      </c>
      <c r="W86" s="48">
        <v>0</v>
      </c>
      <c r="X86" s="48">
        <v>0</v>
      </c>
      <c r="Y86" s="48">
        <v>0</v>
      </c>
      <c r="Z86" s="48">
        <v>0</v>
      </c>
      <c r="AA86" s="42"/>
    </row>
    <row r="87" spans="1:27" ht="25.5" customHeight="1">
      <c r="A87" s="10" t="s">
        <v>69</v>
      </c>
      <c r="B87" s="33"/>
      <c r="C87" s="23"/>
      <c r="D87" s="258" t="s">
        <v>70</v>
      </c>
      <c r="E87" s="258"/>
      <c r="F87" s="41">
        <f>0</f>
        <v>0</v>
      </c>
      <c r="G87" s="41">
        <f>1504497</f>
        <v>1504497</v>
      </c>
      <c r="H87" s="41">
        <f>4349131</f>
        <v>4349131</v>
      </c>
      <c r="I87" s="41">
        <f>1945489.94</f>
        <v>1945489.94</v>
      </c>
      <c r="J87" s="51">
        <f>4403940+248657</f>
        <v>4652597</v>
      </c>
      <c r="K87" s="104"/>
      <c r="L87" s="51">
        <v>3847178</v>
      </c>
      <c r="M87" s="50">
        <v>3177005</v>
      </c>
      <c r="N87" s="121">
        <f>1494984+195038+44393+2706+6369+11463+9369-69607+1-33433+11100+14400+113826+20567+156138-13217-116</f>
        <v>1963981</v>
      </c>
      <c r="O87" s="139">
        <f>1462604.27+193753.94</f>
        <v>1656358.21</v>
      </c>
      <c r="P87" s="167">
        <f>1573220+106952+263721+243090+96805+16453-4295+33326+466198+25882+8230+134197</f>
        <v>2963779</v>
      </c>
      <c r="Q87" s="131">
        <v>2866650.56</v>
      </c>
      <c r="R87" s="122">
        <f>2274130+7553+73372-10000+130085-36936+2069+10976+35319+245824+132934+23252+13670+1855+68544+2640+43716+40880</f>
        <v>3059883</v>
      </c>
      <c r="S87" s="122">
        <f>2274130+7553+73372-10000+130085-36936+2069+10976+35319+245824+132934+23252+13670+1855+68544+2640+43716+40880+2650</f>
        <v>3062533</v>
      </c>
      <c r="T87" s="122">
        <v>3225014</v>
      </c>
      <c r="U87" s="121">
        <v>1757283</v>
      </c>
      <c r="V87" s="51">
        <v>1133061</v>
      </c>
      <c r="W87" s="51">
        <v>0</v>
      </c>
      <c r="X87" s="51">
        <v>0</v>
      </c>
      <c r="Y87" s="51">
        <v>0</v>
      </c>
      <c r="Z87" s="51">
        <v>0</v>
      </c>
    </row>
    <row r="88" spans="1:27" ht="42.75" customHeight="1">
      <c r="A88" s="10" t="s">
        <v>71</v>
      </c>
      <c r="B88" s="258" t="s">
        <v>72</v>
      </c>
      <c r="C88" s="258"/>
      <c r="D88" s="258"/>
      <c r="E88" s="258"/>
      <c r="F88" s="41">
        <f>0</f>
        <v>0</v>
      </c>
      <c r="G88" s="41">
        <f>0</f>
        <v>0</v>
      </c>
      <c r="H88" s="41">
        <f>0</f>
        <v>0</v>
      </c>
      <c r="I88" s="41">
        <f>0</f>
        <v>0</v>
      </c>
      <c r="J88" s="51">
        <f>J87-0</f>
        <v>4652597</v>
      </c>
      <c r="K88" s="104"/>
      <c r="L88" s="51">
        <v>4704116</v>
      </c>
      <c r="M88" s="50">
        <v>3177005</v>
      </c>
      <c r="N88" s="50">
        <f>1781257-206152+18900+33993-27293+30595+1894+1803+1021+1065+44393+2706+6369+11463+1652+9369-22234+206152+11100+459+321+12+113826+20567-13217-2332</f>
        <v>2027689</v>
      </c>
      <c r="O88" s="130">
        <v>1864615.51</v>
      </c>
      <c r="P88" s="130">
        <f>1923553+106952+263721+243090+6+6180+96807+11653+33326+448+466198+25882-448+8230+134197+36</f>
        <v>3319831</v>
      </c>
      <c r="Q88" s="130">
        <v>3168513.5</v>
      </c>
      <c r="R88" s="122">
        <v>3218555</v>
      </c>
      <c r="S88" s="122">
        <v>3239602</v>
      </c>
      <c r="T88" s="122">
        <v>2584222</v>
      </c>
      <c r="U88" s="122">
        <v>334507</v>
      </c>
      <c r="V88" s="51">
        <v>0</v>
      </c>
      <c r="W88" s="51">
        <f t="shared" ref="W88:Z88" si="63">W87-0</f>
        <v>0</v>
      </c>
      <c r="X88" s="51">
        <f t="shared" si="63"/>
        <v>0</v>
      </c>
      <c r="Y88" s="51">
        <f t="shared" si="63"/>
        <v>0</v>
      </c>
      <c r="Z88" s="51">
        <f t="shared" si="63"/>
        <v>0</v>
      </c>
    </row>
    <row r="89" spans="1:27" ht="31.5" customHeight="1">
      <c r="A89" s="10" t="s">
        <v>73</v>
      </c>
      <c r="B89" s="258" t="s">
        <v>74</v>
      </c>
      <c r="C89" s="258"/>
      <c r="D89" s="258"/>
      <c r="E89" s="258"/>
      <c r="F89" s="41">
        <f>0</f>
        <v>0</v>
      </c>
      <c r="G89" s="41">
        <f>0</f>
        <v>0</v>
      </c>
      <c r="H89" s="41">
        <f>0</f>
        <v>0</v>
      </c>
      <c r="I89" s="41">
        <f>0</f>
        <v>0</v>
      </c>
      <c r="J89" s="44">
        <f>124532250+2600000+750000-550000+1000000</f>
        <v>128332250</v>
      </c>
      <c r="K89" s="103"/>
      <c r="L89" s="44">
        <v>53673620</v>
      </c>
      <c r="M89" s="120">
        <f>47852573+503789</f>
        <v>48356362</v>
      </c>
      <c r="N89" s="123">
        <f>515487+231100+41010+7000+896800+1090000+321949+8937712+324390</f>
        <v>12365448</v>
      </c>
      <c r="O89" s="130">
        <v>16138972.550000001</v>
      </c>
      <c r="P89" s="164">
        <f>451250+6500+2180736+448+531377</f>
        <v>3170311</v>
      </c>
      <c r="Q89" s="130">
        <v>959138.04</v>
      </c>
      <c r="R89" s="122">
        <f>3848403+910659+30448+12480+7343600+1370000+36609+4195+395-118627-123246+118627-63292+228266-601509-1312327</f>
        <v>11684681</v>
      </c>
      <c r="S89" s="122">
        <f>3848403+910659+30448+12480+7343600+1370000+36609+4195+395-118627-123246+118627-63292+228266-601509-1312327-5623842</f>
        <v>6060839</v>
      </c>
      <c r="T89" s="122">
        <f>34179792+542000</f>
        <v>34721792</v>
      </c>
      <c r="U89" s="121">
        <v>1068844</v>
      </c>
      <c r="V89" s="234">
        <v>0</v>
      </c>
      <c r="W89" s="115">
        <v>0</v>
      </c>
      <c r="X89" s="115">
        <v>0</v>
      </c>
      <c r="Y89" s="115">
        <v>0</v>
      </c>
      <c r="Z89" s="115">
        <v>0</v>
      </c>
    </row>
    <row r="90" spans="1:27" ht="28.5" customHeight="1">
      <c r="A90" s="10" t="s">
        <v>75</v>
      </c>
      <c r="B90" s="33"/>
      <c r="C90" s="23"/>
      <c r="D90" s="258" t="s">
        <v>70</v>
      </c>
      <c r="E90" s="258"/>
      <c r="F90" s="41">
        <f>0</f>
        <v>0</v>
      </c>
      <c r="G90" s="41">
        <f>9395194</f>
        <v>9395194</v>
      </c>
      <c r="H90" s="41">
        <f>84470900</f>
        <v>84470900</v>
      </c>
      <c r="I90" s="41">
        <f>27374417.82</f>
        <v>27374417.82</v>
      </c>
      <c r="J90" s="51">
        <v>72793305</v>
      </c>
      <c r="K90" s="104"/>
      <c r="L90" s="51">
        <v>26855613</v>
      </c>
      <c r="M90" s="50">
        <v>23604941</v>
      </c>
      <c r="N90" s="50">
        <f>38250+5950+896800+574138</f>
        <v>1515138</v>
      </c>
      <c r="O90" s="131">
        <v>1404987.36</v>
      </c>
      <c r="P90" s="131">
        <f>675546-675546+531377+680427</f>
        <v>1211804</v>
      </c>
      <c r="Q90" s="131">
        <v>502498.09</v>
      </c>
      <c r="R90" s="122">
        <f>1687394+610659+25880+10000+4743600+170000+4195+31117-123246-63292+114133-525659-162928</f>
        <v>6521853</v>
      </c>
      <c r="S90" s="122">
        <f>1687394+610659+25880+10000+4743600+170000+4195+31117-123246-63292+114133-525659-162928-4532168</f>
        <v>1989685</v>
      </c>
      <c r="T90" s="122">
        <v>20542557</v>
      </c>
      <c r="U90" s="121">
        <v>908983</v>
      </c>
      <c r="V90" s="51">
        <v>0</v>
      </c>
      <c r="W90" s="51">
        <v>0</v>
      </c>
      <c r="X90" s="51">
        <v>0</v>
      </c>
      <c r="Y90" s="51">
        <v>0</v>
      </c>
      <c r="Z90" s="51">
        <v>0</v>
      </c>
    </row>
    <row r="91" spans="1:27" ht="39" customHeight="1">
      <c r="A91" s="10" t="s">
        <v>76</v>
      </c>
      <c r="B91" s="258" t="s">
        <v>77</v>
      </c>
      <c r="C91" s="258"/>
      <c r="D91" s="258"/>
      <c r="E91" s="258"/>
      <c r="F91" s="41">
        <f>0</f>
        <v>0</v>
      </c>
      <c r="G91" s="41">
        <f>0</f>
        <v>0</v>
      </c>
      <c r="H91" s="41">
        <f>0</f>
        <v>0</v>
      </c>
      <c r="I91" s="41">
        <f>0</f>
        <v>0</v>
      </c>
      <c r="J91" s="48">
        <f>J90</f>
        <v>72793305</v>
      </c>
      <c r="K91" s="103"/>
      <c r="L91" s="48">
        <v>53223976</v>
      </c>
      <c r="M91" s="120">
        <f>47852573+503789</f>
        <v>48356362</v>
      </c>
      <c r="N91" s="48">
        <f>515487+231100+41010+7000+896800+1090000+321949+8937712+324390</f>
        <v>12365448</v>
      </c>
      <c r="O91" s="130">
        <v>16138972.550000001</v>
      </c>
      <c r="P91" s="164">
        <f>451250+6500+448+531377+2180736</f>
        <v>3170311</v>
      </c>
      <c r="Q91" s="130">
        <v>959138.04</v>
      </c>
      <c r="R91" s="122">
        <v>11398742</v>
      </c>
      <c r="S91" s="122">
        <f>11398742-5623842</f>
        <v>5774900</v>
      </c>
      <c r="T91" s="122">
        <f>31001515+542000</f>
        <v>31543515</v>
      </c>
      <c r="U91" s="121">
        <v>0</v>
      </c>
      <c r="V91" s="234">
        <f t="shared" ref="V91" si="64">V90-0</f>
        <v>0</v>
      </c>
      <c r="W91" s="115">
        <f t="shared" ref="W91:Z91" si="65">W90-0</f>
        <v>0</v>
      </c>
      <c r="X91" s="115">
        <f t="shared" si="65"/>
        <v>0</v>
      </c>
      <c r="Y91" s="115">
        <f t="shared" si="65"/>
        <v>0</v>
      </c>
      <c r="Z91" s="115">
        <f t="shared" si="65"/>
        <v>0</v>
      </c>
    </row>
    <row r="92" spans="1:27" s="91" customFormat="1" ht="45" customHeight="1">
      <c r="A92" s="92" t="s">
        <v>129</v>
      </c>
      <c r="B92" s="258" t="s">
        <v>130</v>
      </c>
      <c r="C92" s="258"/>
      <c r="D92" s="258"/>
      <c r="E92" s="258"/>
      <c r="F92" s="41">
        <f>0</f>
        <v>0</v>
      </c>
      <c r="G92" s="41">
        <f>0</f>
        <v>0</v>
      </c>
      <c r="H92" s="41">
        <f>0</f>
        <v>0</v>
      </c>
      <c r="I92" s="41">
        <f>0</f>
        <v>0</v>
      </c>
      <c r="J92" s="87">
        <f>124532250+2600000+750000-550000+1000000</f>
        <v>128332250</v>
      </c>
      <c r="K92" s="103"/>
      <c r="L92" s="48">
        <v>27674945</v>
      </c>
      <c r="M92" s="48">
        <v>25383279</v>
      </c>
      <c r="N92" s="122">
        <f>568472+18900+231100+33993-27293+30595+1894+1803+41010+1021+1050+1065+1652+69607-1+11771-572-14400+459+414543+101319+321+321949+8937712+324390+12+226-2332-20+136</f>
        <v>11070382</v>
      </c>
      <c r="O92" s="139">
        <v>14733985.189999999</v>
      </c>
      <c r="P92" s="130">
        <f>1648822+20904+193547+451250+36</f>
        <v>2314559</v>
      </c>
      <c r="Q92" s="130">
        <f>282197.58+19665.36+456639.95</f>
        <v>758502.89</v>
      </c>
      <c r="R92" s="122">
        <f>2275500+29146+4332+300000+12948+4568+1343600+1256400+36936+646+18500+1200000+1291+30836+395+6237+5492+15657+2188-118627+118627+114133+9340-75850+5000+1040-1149399</f>
        <v>5448936</v>
      </c>
      <c r="S92" s="122">
        <f>2275500+29146+4332+300000+12948+4568+1343600+1256400+36936+646+18500+1200000+1291+30836+395+6237+5492+15657+2188-118627+118627+114133+9340-75850+5000+1040-1149399-1091674+7397</f>
        <v>4364659</v>
      </c>
      <c r="T92" s="122">
        <f>13946911+542000</f>
        <v>14488911</v>
      </c>
      <c r="U92" s="121">
        <v>383055</v>
      </c>
      <c r="V92" s="234">
        <v>199241</v>
      </c>
      <c r="W92" s="115">
        <f t="shared" ref="T92:Z99" si="66">W91-0</f>
        <v>0</v>
      </c>
      <c r="X92" s="115">
        <f t="shared" si="66"/>
        <v>0</v>
      </c>
      <c r="Y92" s="115">
        <f t="shared" si="66"/>
        <v>0</v>
      </c>
      <c r="Z92" s="115">
        <f t="shared" si="66"/>
        <v>0</v>
      </c>
      <c r="AA92" s="42"/>
    </row>
    <row r="93" spans="1:27" s="91" customFormat="1" ht="28.5" customHeight="1">
      <c r="A93" s="92" t="s">
        <v>131</v>
      </c>
      <c r="B93" s="33"/>
      <c r="C93" s="23"/>
      <c r="D93" s="278" t="s">
        <v>132</v>
      </c>
      <c r="E93" s="258"/>
      <c r="F93" s="41">
        <f>0</f>
        <v>0</v>
      </c>
      <c r="G93" s="41">
        <f>9395194</f>
        <v>9395194</v>
      </c>
      <c r="H93" s="41">
        <f>84470900</f>
        <v>84470900</v>
      </c>
      <c r="I93" s="41">
        <f>27374417.82</f>
        <v>27374417.82</v>
      </c>
      <c r="J93" s="51">
        <v>72793305</v>
      </c>
      <c r="K93" s="104"/>
      <c r="L93" s="48">
        <v>27674945</v>
      </c>
      <c r="M93" s="48">
        <v>25383279</v>
      </c>
      <c r="N93" s="122">
        <f>568472+18900+231100+33993-27293+30595+1894+1803+41010+1021+1050+1065+1652+69607-1+11771-572-14400+459+414543+101319+321+321949+8937712+324390+12-2332-20+136</f>
        <v>11070156</v>
      </c>
      <c r="O93" s="139">
        <v>14733985.189999999</v>
      </c>
      <c r="P93" s="130">
        <f>1648822+20904+193547+451250+36</f>
        <v>2314559</v>
      </c>
      <c r="Q93" s="130">
        <f>282197.58+19665.36+456639.95</f>
        <v>758502.89</v>
      </c>
      <c r="R93" s="122">
        <v>5263009</v>
      </c>
      <c r="S93" s="122">
        <v>4172791</v>
      </c>
      <c r="T93" s="122">
        <f>13127045+542000</f>
        <v>13669045</v>
      </c>
      <c r="U93" s="122">
        <v>46827</v>
      </c>
      <c r="V93" s="234">
        <v>0</v>
      </c>
      <c r="W93" s="115">
        <f t="shared" si="66"/>
        <v>0</v>
      </c>
      <c r="X93" s="115">
        <f t="shared" si="66"/>
        <v>0</v>
      </c>
      <c r="Y93" s="115">
        <f t="shared" si="66"/>
        <v>0</v>
      </c>
      <c r="Z93" s="115">
        <f t="shared" si="66"/>
        <v>0</v>
      </c>
    </row>
    <row r="94" spans="1:27" s="91" customFormat="1" ht="45" customHeight="1">
      <c r="A94" s="92" t="s">
        <v>133</v>
      </c>
      <c r="B94" s="258" t="s">
        <v>186</v>
      </c>
      <c r="C94" s="258"/>
      <c r="D94" s="258"/>
      <c r="E94" s="258"/>
      <c r="F94" s="41">
        <f>0</f>
        <v>0</v>
      </c>
      <c r="G94" s="41">
        <f>0</f>
        <v>0</v>
      </c>
      <c r="H94" s="41">
        <f>0</f>
        <v>0</v>
      </c>
      <c r="I94" s="41">
        <f>0</f>
        <v>0</v>
      </c>
      <c r="J94" s="87">
        <f>124532250+2600000+750000-550000+1000000</f>
        <v>128332250</v>
      </c>
      <c r="K94" s="103"/>
      <c r="L94" s="48">
        <v>2419537</v>
      </c>
      <c r="M94" s="48">
        <f>2+18892.85+2477.23+23392.36+25982.56+13+10+68253.72+1449+2898+912.5+1799.56+1376708.9+106573.6+392888+651941.98</f>
        <v>2674195.2599999998</v>
      </c>
      <c r="N94" s="122">
        <f>509936+231100+18900+30595+27293-27293+1021+1050+69607-1+11771-14400+459+414543+101319+321+12+6700-2332</f>
        <v>1380601</v>
      </c>
      <c r="O94" s="139">
        <v>1064214.32</v>
      </c>
      <c r="P94" s="130">
        <f>166446+36</f>
        <v>166482</v>
      </c>
      <c r="Q94" s="130">
        <f t="shared" ref="Q94:Q95" si="67">282197.58+19665.36+456639.95</f>
        <v>758502.89</v>
      </c>
      <c r="R94" s="122">
        <v>3443436</v>
      </c>
      <c r="S94" s="122">
        <v>3257832</v>
      </c>
      <c r="T94" s="122">
        <f>9665895+542000</f>
        <v>10207895</v>
      </c>
      <c r="U94" s="122">
        <v>46827</v>
      </c>
      <c r="V94" s="234">
        <f t="shared" ref="U94:V95" si="68">V93-0</f>
        <v>0</v>
      </c>
      <c r="W94" s="115">
        <f t="shared" si="66"/>
        <v>0</v>
      </c>
      <c r="X94" s="115">
        <f t="shared" si="66"/>
        <v>0</v>
      </c>
      <c r="Y94" s="115">
        <f t="shared" si="66"/>
        <v>0</v>
      </c>
      <c r="Z94" s="115">
        <f t="shared" si="66"/>
        <v>0</v>
      </c>
    </row>
    <row r="95" spans="1:27" s="91" customFormat="1" ht="28.5" customHeight="1">
      <c r="A95" s="92" t="s">
        <v>134</v>
      </c>
      <c r="B95" s="33"/>
      <c r="C95" s="23"/>
      <c r="D95" s="278" t="s">
        <v>132</v>
      </c>
      <c r="E95" s="258"/>
      <c r="F95" s="41">
        <f>0</f>
        <v>0</v>
      </c>
      <c r="G95" s="41">
        <f>9395194</f>
        <v>9395194</v>
      </c>
      <c r="H95" s="41">
        <f>84470900</f>
        <v>84470900</v>
      </c>
      <c r="I95" s="41">
        <f>27374417.82</f>
        <v>27374417.82</v>
      </c>
      <c r="J95" s="51">
        <v>72793305</v>
      </c>
      <c r="K95" s="104"/>
      <c r="L95" s="50">
        <v>2419537</v>
      </c>
      <c r="M95" s="48">
        <f>2+18892.85+2477.23+23392.36+25982.56+13+10+68253.72+1449+2898+912.5+1799.56+1376708.9+106573.6+392888+651941.98</f>
        <v>2674195.2599999998</v>
      </c>
      <c r="N95" s="122">
        <f>509936+231100+18900+30595+27293-27293+1021+1050+69607-1+11771-14400+459+414543+101319+321+12+6700-2332</f>
        <v>1380601</v>
      </c>
      <c r="O95" s="139">
        <v>1064214.32</v>
      </c>
      <c r="P95" s="130">
        <f>166446+36</f>
        <v>166482</v>
      </c>
      <c r="Q95" s="130">
        <f t="shared" si="67"/>
        <v>758502.89</v>
      </c>
      <c r="R95" s="122">
        <v>3443436</v>
      </c>
      <c r="S95" s="122">
        <v>3257832</v>
      </c>
      <c r="T95" s="122">
        <f>9665895+542000</f>
        <v>10207895</v>
      </c>
      <c r="U95" s="122">
        <f t="shared" si="68"/>
        <v>46827</v>
      </c>
      <c r="V95" s="234">
        <f t="shared" si="68"/>
        <v>0</v>
      </c>
      <c r="W95" s="115">
        <f t="shared" si="66"/>
        <v>0</v>
      </c>
      <c r="X95" s="115">
        <f t="shared" si="66"/>
        <v>0</v>
      </c>
      <c r="Y95" s="115">
        <f t="shared" si="66"/>
        <v>0</v>
      </c>
      <c r="Z95" s="115">
        <f t="shared" si="66"/>
        <v>0</v>
      </c>
    </row>
    <row r="96" spans="1:27" s="91" customFormat="1" ht="58.5" customHeight="1">
      <c r="A96" s="92" t="s">
        <v>135</v>
      </c>
      <c r="B96" s="258" t="s">
        <v>136</v>
      </c>
      <c r="C96" s="258"/>
      <c r="D96" s="258"/>
      <c r="E96" s="258"/>
      <c r="F96" s="41">
        <f>0</f>
        <v>0</v>
      </c>
      <c r="G96" s="41">
        <f>0</f>
        <v>0</v>
      </c>
      <c r="H96" s="41">
        <f>0</f>
        <v>0</v>
      </c>
      <c r="I96" s="41">
        <f>0</f>
        <v>0</v>
      </c>
      <c r="J96" s="87">
        <f>124532250+2600000+750000-550000+1000000</f>
        <v>128332250</v>
      </c>
      <c r="K96" s="87">
        <v>0</v>
      </c>
      <c r="L96" s="87">
        <v>0</v>
      </c>
      <c r="M96" s="120">
        <v>0</v>
      </c>
      <c r="N96" s="121">
        <v>0</v>
      </c>
      <c r="O96" s="121">
        <v>0</v>
      </c>
      <c r="P96" s="98">
        <v>0</v>
      </c>
      <c r="Q96" s="150">
        <v>0</v>
      </c>
      <c r="R96" s="225">
        <v>0</v>
      </c>
      <c r="S96" s="98">
        <v>0</v>
      </c>
      <c r="T96" s="48">
        <v>0</v>
      </c>
      <c r="U96" s="48">
        <v>0</v>
      </c>
      <c r="V96" s="48">
        <f t="shared" si="66"/>
        <v>0</v>
      </c>
      <c r="W96" s="115">
        <f t="shared" si="66"/>
        <v>0</v>
      </c>
      <c r="X96" s="115">
        <f t="shared" si="66"/>
        <v>0</v>
      </c>
      <c r="Y96" s="115">
        <f t="shared" si="66"/>
        <v>0</v>
      </c>
      <c r="Z96" s="115">
        <f t="shared" si="66"/>
        <v>0</v>
      </c>
    </row>
    <row r="97" spans="1:26" s="91" customFormat="1" ht="28.5" customHeight="1">
      <c r="A97" s="92" t="s">
        <v>137</v>
      </c>
      <c r="B97" s="33"/>
      <c r="C97" s="23"/>
      <c r="D97" s="278" t="s">
        <v>132</v>
      </c>
      <c r="E97" s="258"/>
      <c r="F97" s="41">
        <f>0</f>
        <v>0</v>
      </c>
      <c r="G97" s="41">
        <f>9395194</f>
        <v>9395194</v>
      </c>
      <c r="H97" s="41">
        <f>84470900</f>
        <v>84470900</v>
      </c>
      <c r="I97" s="41">
        <f>27374417.82</f>
        <v>27374417.82</v>
      </c>
      <c r="J97" s="51">
        <v>72793305</v>
      </c>
      <c r="K97" s="51">
        <v>0</v>
      </c>
      <c r="L97" s="98">
        <v>0</v>
      </c>
      <c r="M97" s="120">
        <v>0</v>
      </c>
      <c r="N97" s="123">
        <v>0</v>
      </c>
      <c r="O97" s="98">
        <v>0</v>
      </c>
      <c r="P97" s="98">
        <v>0</v>
      </c>
      <c r="Q97" s="150">
        <v>0</v>
      </c>
      <c r="R97" s="225">
        <f t="shared" ref="R97:R99" si="69">R96-0</f>
        <v>0</v>
      </c>
      <c r="S97" s="98">
        <f t="shared" ref="S97:S99" si="70">S96-0</f>
        <v>0</v>
      </c>
      <c r="T97" s="48">
        <f t="shared" si="66"/>
        <v>0</v>
      </c>
      <c r="U97" s="48">
        <f t="shared" si="66"/>
        <v>0</v>
      </c>
      <c r="V97" s="48">
        <f t="shared" si="66"/>
        <v>0</v>
      </c>
      <c r="W97" s="115">
        <f t="shared" si="66"/>
        <v>0</v>
      </c>
      <c r="X97" s="115">
        <f t="shared" si="66"/>
        <v>0</v>
      </c>
      <c r="Y97" s="115">
        <f t="shared" si="66"/>
        <v>0</v>
      </c>
      <c r="Z97" s="115">
        <f t="shared" si="66"/>
        <v>0</v>
      </c>
    </row>
    <row r="98" spans="1:26" s="91" customFormat="1" ht="58.5" customHeight="1">
      <c r="A98" s="92" t="s">
        <v>139</v>
      </c>
      <c r="B98" s="258" t="s">
        <v>138</v>
      </c>
      <c r="C98" s="258"/>
      <c r="D98" s="258"/>
      <c r="E98" s="258"/>
      <c r="F98" s="41">
        <f>0</f>
        <v>0</v>
      </c>
      <c r="G98" s="41">
        <f>0</f>
        <v>0</v>
      </c>
      <c r="H98" s="41">
        <f>0</f>
        <v>0</v>
      </c>
      <c r="I98" s="41">
        <f>0</f>
        <v>0</v>
      </c>
      <c r="J98" s="87">
        <f>124532250+2600000+750000-550000+1000000</f>
        <v>128332250</v>
      </c>
      <c r="K98" s="87">
        <v>0</v>
      </c>
      <c r="L98" s="98">
        <v>2116788</v>
      </c>
      <c r="M98" s="120">
        <v>0</v>
      </c>
      <c r="N98" s="123">
        <v>0</v>
      </c>
      <c r="O98" s="98">
        <v>0</v>
      </c>
      <c r="P98" s="98">
        <f>P97-0</f>
        <v>0</v>
      </c>
      <c r="Q98" s="150">
        <f>Q97-0</f>
        <v>0</v>
      </c>
      <c r="R98" s="225">
        <f t="shared" si="69"/>
        <v>0</v>
      </c>
      <c r="S98" s="98">
        <f t="shared" si="70"/>
        <v>0</v>
      </c>
      <c r="T98" s="48">
        <f t="shared" si="66"/>
        <v>0</v>
      </c>
      <c r="U98" s="48">
        <f t="shared" si="66"/>
        <v>0</v>
      </c>
      <c r="V98" s="48">
        <f t="shared" si="66"/>
        <v>0</v>
      </c>
      <c r="W98" s="115">
        <f t="shared" si="66"/>
        <v>0</v>
      </c>
      <c r="X98" s="115">
        <f t="shared" si="66"/>
        <v>0</v>
      </c>
      <c r="Y98" s="115">
        <f t="shared" si="66"/>
        <v>0</v>
      </c>
      <c r="Z98" s="115">
        <f t="shared" si="66"/>
        <v>0</v>
      </c>
    </row>
    <row r="99" spans="1:26" s="91" customFormat="1" ht="28.5" customHeight="1">
      <c r="A99" s="92" t="s">
        <v>140</v>
      </c>
      <c r="B99" s="33"/>
      <c r="C99" s="23"/>
      <c r="D99" s="278" t="s">
        <v>132</v>
      </c>
      <c r="E99" s="258"/>
      <c r="F99" s="41">
        <f>0</f>
        <v>0</v>
      </c>
      <c r="G99" s="41">
        <f>9395194</f>
        <v>9395194</v>
      </c>
      <c r="H99" s="41">
        <f>84470900</f>
        <v>84470900</v>
      </c>
      <c r="I99" s="41">
        <f>27374417.82</f>
        <v>27374417.82</v>
      </c>
      <c r="J99" s="51">
        <v>72793305</v>
      </c>
      <c r="K99" s="51">
        <v>0</v>
      </c>
      <c r="L99" s="98">
        <f>L98</f>
        <v>2116788</v>
      </c>
      <c r="M99" s="120">
        <v>0</v>
      </c>
      <c r="N99" s="123">
        <v>0</v>
      </c>
      <c r="O99" s="98">
        <v>0</v>
      </c>
      <c r="P99" s="98">
        <f>P98-0</f>
        <v>0</v>
      </c>
      <c r="Q99" s="150">
        <f>Q98-0</f>
        <v>0</v>
      </c>
      <c r="R99" s="225">
        <f t="shared" si="69"/>
        <v>0</v>
      </c>
      <c r="S99" s="98">
        <f t="shared" si="70"/>
        <v>0</v>
      </c>
      <c r="T99" s="48">
        <f t="shared" si="66"/>
        <v>0</v>
      </c>
      <c r="U99" s="48">
        <f t="shared" si="66"/>
        <v>0</v>
      </c>
      <c r="V99" s="48">
        <f t="shared" si="66"/>
        <v>0</v>
      </c>
      <c r="W99" s="115">
        <f t="shared" si="66"/>
        <v>0</v>
      </c>
      <c r="X99" s="115">
        <f t="shared" si="66"/>
        <v>0</v>
      </c>
      <c r="Y99" s="115">
        <f t="shared" si="66"/>
        <v>0</v>
      </c>
      <c r="Z99" s="115">
        <f t="shared" si="66"/>
        <v>0</v>
      </c>
    </row>
    <row r="100" spans="1:26" s="91" customFormat="1" ht="12" customHeight="1">
      <c r="A100" s="89"/>
      <c r="B100" s="85"/>
      <c r="C100" s="85"/>
      <c r="D100" s="85"/>
      <c r="E100" s="85"/>
      <c r="F100" s="41"/>
      <c r="G100" s="41"/>
      <c r="H100" s="41"/>
      <c r="I100" s="41"/>
      <c r="J100" s="93"/>
      <c r="K100" s="93"/>
      <c r="L100" s="94"/>
      <c r="M100" s="94"/>
      <c r="N100" s="94"/>
      <c r="O100" s="94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</row>
    <row r="101" spans="1:26" ht="29.25" customHeight="1">
      <c r="A101" s="280" t="s">
        <v>78</v>
      </c>
      <c r="B101" s="280"/>
      <c r="C101" s="280"/>
      <c r="D101" s="280"/>
      <c r="E101" s="280"/>
      <c r="F101" s="79"/>
      <c r="G101" s="79"/>
      <c r="H101" s="79"/>
      <c r="I101" s="79"/>
      <c r="J101" s="75"/>
      <c r="K101" s="75"/>
      <c r="L101" s="76"/>
      <c r="M101" s="76"/>
      <c r="N101" s="77"/>
      <c r="O101" s="77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spans="1:26" ht="38.25" customHeight="1">
      <c r="A102" s="10" t="s">
        <v>79</v>
      </c>
      <c r="B102" s="258" t="s">
        <v>80</v>
      </c>
      <c r="C102" s="258"/>
      <c r="D102" s="258"/>
      <c r="E102" s="258"/>
      <c r="F102" s="19"/>
      <c r="G102" s="19"/>
      <c r="H102" s="19"/>
      <c r="I102" s="19"/>
      <c r="J102" s="44">
        <v>0</v>
      </c>
      <c r="K102" s="80">
        <v>0</v>
      </c>
      <c r="L102" s="44">
        <v>0</v>
      </c>
      <c r="M102" s="111">
        <v>0</v>
      </c>
      <c r="N102" s="123">
        <v>0</v>
      </c>
      <c r="O102" s="44">
        <v>0</v>
      </c>
      <c r="P102" s="44">
        <v>0</v>
      </c>
      <c r="Q102" s="150">
        <v>0</v>
      </c>
      <c r="R102" s="225">
        <v>0</v>
      </c>
      <c r="S102" s="57">
        <v>0</v>
      </c>
      <c r="T102" s="57">
        <v>0</v>
      </c>
      <c r="U102" s="57">
        <v>0</v>
      </c>
      <c r="V102" s="57">
        <v>0</v>
      </c>
      <c r="W102" s="115">
        <v>0</v>
      </c>
      <c r="X102" s="115">
        <v>0</v>
      </c>
      <c r="Y102" s="115">
        <v>0</v>
      </c>
      <c r="Z102" s="115">
        <v>0</v>
      </c>
    </row>
    <row r="103" spans="1:26" ht="41.25" customHeight="1">
      <c r="A103" s="10" t="s">
        <v>81</v>
      </c>
      <c r="B103" s="258" t="s">
        <v>204</v>
      </c>
      <c r="C103" s="258"/>
      <c r="D103" s="258"/>
      <c r="E103" s="258"/>
      <c r="F103" s="19"/>
      <c r="G103" s="19"/>
      <c r="H103" s="19"/>
      <c r="I103" s="19"/>
      <c r="J103" s="44">
        <v>0</v>
      </c>
      <c r="K103" s="80">
        <v>0</v>
      </c>
      <c r="L103" s="44">
        <v>0</v>
      </c>
      <c r="M103" s="111">
        <v>0</v>
      </c>
      <c r="N103" s="123">
        <v>0</v>
      </c>
      <c r="O103" s="44">
        <v>0</v>
      </c>
      <c r="P103" s="44">
        <v>0</v>
      </c>
      <c r="Q103" s="150">
        <v>0</v>
      </c>
      <c r="R103" s="225">
        <v>0</v>
      </c>
      <c r="S103" s="57">
        <v>0</v>
      </c>
      <c r="T103" s="57">
        <v>0</v>
      </c>
      <c r="U103" s="57">
        <v>0</v>
      </c>
      <c r="V103" s="57">
        <v>0</v>
      </c>
      <c r="W103" s="115">
        <v>0</v>
      </c>
      <c r="X103" s="115">
        <v>0</v>
      </c>
      <c r="Y103" s="115">
        <v>0</v>
      </c>
      <c r="Z103" s="115">
        <v>0</v>
      </c>
    </row>
    <row r="104" spans="1:26" ht="24" customHeight="1">
      <c r="A104" s="10" t="s">
        <v>82</v>
      </c>
      <c r="B104" s="258" t="s">
        <v>83</v>
      </c>
      <c r="C104" s="258"/>
      <c r="D104" s="258"/>
      <c r="E104" s="258"/>
      <c r="F104" s="19"/>
      <c r="G104" s="19"/>
      <c r="H104" s="19"/>
      <c r="I104" s="19"/>
      <c r="J104" s="44">
        <v>0</v>
      </c>
      <c r="K104" s="80">
        <v>0</v>
      </c>
      <c r="L104" s="44">
        <v>0</v>
      </c>
      <c r="M104" s="111">
        <v>0</v>
      </c>
      <c r="N104" s="123">
        <v>0</v>
      </c>
      <c r="O104" s="44">
        <v>0</v>
      </c>
      <c r="P104" s="44">
        <v>0</v>
      </c>
      <c r="Q104" s="150">
        <v>0</v>
      </c>
      <c r="R104" s="225">
        <v>0</v>
      </c>
      <c r="S104" s="57">
        <v>0</v>
      </c>
      <c r="T104" s="57">
        <v>0</v>
      </c>
      <c r="U104" s="57">
        <v>0</v>
      </c>
      <c r="V104" s="57">
        <v>0</v>
      </c>
      <c r="W104" s="115">
        <v>0</v>
      </c>
      <c r="X104" s="115">
        <v>0</v>
      </c>
      <c r="Y104" s="115">
        <v>0</v>
      </c>
      <c r="Z104" s="115">
        <v>0</v>
      </c>
    </row>
    <row r="105" spans="1:26" ht="36.75" customHeight="1">
      <c r="A105" s="10" t="s">
        <v>84</v>
      </c>
      <c r="B105" s="258" t="s">
        <v>85</v>
      </c>
      <c r="C105" s="258"/>
      <c r="D105" s="258"/>
      <c r="E105" s="258"/>
      <c r="F105" s="19"/>
      <c r="G105" s="19"/>
      <c r="H105" s="19"/>
      <c r="I105" s="19"/>
      <c r="J105" s="44">
        <v>0</v>
      </c>
      <c r="K105" s="80">
        <v>0</v>
      </c>
      <c r="L105" s="44">
        <v>0</v>
      </c>
      <c r="M105" s="111">
        <v>0</v>
      </c>
      <c r="N105" s="123">
        <v>0</v>
      </c>
      <c r="O105" s="44">
        <v>0</v>
      </c>
      <c r="P105" s="44">
        <v>0</v>
      </c>
      <c r="Q105" s="150">
        <v>0</v>
      </c>
      <c r="R105" s="225">
        <v>0</v>
      </c>
      <c r="S105" s="57">
        <v>0</v>
      </c>
      <c r="T105" s="57">
        <v>0</v>
      </c>
      <c r="U105" s="57">
        <v>0</v>
      </c>
      <c r="V105" s="57">
        <v>0</v>
      </c>
      <c r="W105" s="115">
        <v>0</v>
      </c>
      <c r="X105" s="115">
        <v>0</v>
      </c>
      <c r="Y105" s="115">
        <v>0</v>
      </c>
      <c r="Z105" s="115">
        <v>0</v>
      </c>
    </row>
    <row r="106" spans="1:26" ht="36.75" customHeight="1">
      <c r="A106" s="10" t="s">
        <v>86</v>
      </c>
      <c r="B106" s="258" t="s">
        <v>87</v>
      </c>
      <c r="C106" s="258"/>
      <c r="D106" s="258"/>
      <c r="E106" s="258"/>
      <c r="F106" s="19"/>
      <c r="G106" s="19"/>
      <c r="H106" s="19"/>
      <c r="I106" s="19"/>
      <c r="J106" s="44">
        <v>0</v>
      </c>
      <c r="K106" s="80">
        <v>0</v>
      </c>
      <c r="L106" s="44">
        <v>0</v>
      </c>
      <c r="M106" s="111">
        <v>0</v>
      </c>
      <c r="N106" s="123">
        <v>0</v>
      </c>
      <c r="O106" s="44">
        <v>0</v>
      </c>
      <c r="P106" s="44">
        <v>0</v>
      </c>
      <c r="Q106" s="150">
        <v>0</v>
      </c>
      <c r="R106" s="225">
        <v>0</v>
      </c>
      <c r="S106" s="57">
        <v>0</v>
      </c>
      <c r="T106" s="57">
        <v>0</v>
      </c>
      <c r="U106" s="57">
        <v>0</v>
      </c>
      <c r="V106" s="57">
        <v>0</v>
      </c>
      <c r="W106" s="115">
        <v>0</v>
      </c>
      <c r="X106" s="115">
        <v>0</v>
      </c>
      <c r="Y106" s="115">
        <v>0</v>
      </c>
      <c r="Z106" s="115">
        <v>0</v>
      </c>
    </row>
    <row r="107" spans="1:26" ht="32.25" customHeight="1">
      <c r="A107" s="10" t="s">
        <v>88</v>
      </c>
      <c r="B107" s="258" t="s">
        <v>89</v>
      </c>
      <c r="C107" s="258"/>
      <c r="D107" s="258"/>
      <c r="E107" s="258"/>
      <c r="F107" s="19"/>
      <c r="G107" s="19"/>
      <c r="H107" s="19"/>
      <c r="I107" s="19"/>
      <c r="J107" s="44">
        <v>0</v>
      </c>
      <c r="K107" s="80">
        <v>0</v>
      </c>
      <c r="L107" s="44">
        <v>0</v>
      </c>
      <c r="M107" s="111">
        <v>0</v>
      </c>
      <c r="N107" s="123">
        <v>0</v>
      </c>
      <c r="O107" s="44">
        <v>0</v>
      </c>
      <c r="P107" s="44">
        <v>0</v>
      </c>
      <c r="Q107" s="150">
        <v>0</v>
      </c>
      <c r="R107" s="225">
        <v>0</v>
      </c>
      <c r="S107" s="57">
        <v>0</v>
      </c>
      <c r="T107" s="57">
        <v>0</v>
      </c>
      <c r="U107" s="57">
        <v>0</v>
      </c>
      <c r="V107" s="57">
        <v>0</v>
      </c>
      <c r="W107" s="115">
        <v>0</v>
      </c>
      <c r="X107" s="115">
        <v>0</v>
      </c>
      <c r="Y107" s="115">
        <v>0</v>
      </c>
      <c r="Z107" s="115">
        <v>0</v>
      </c>
    </row>
    <row r="108" spans="1:26" ht="31.5" customHeight="1">
      <c r="A108" s="10" t="s">
        <v>90</v>
      </c>
      <c r="B108" s="258" t="s">
        <v>91</v>
      </c>
      <c r="C108" s="258"/>
      <c r="D108" s="258"/>
      <c r="E108" s="258"/>
      <c r="F108" s="19"/>
      <c r="G108" s="19"/>
      <c r="H108" s="19"/>
      <c r="I108" s="19"/>
      <c r="J108" s="44">
        <v>0</v>
      </c>
      <c r="K108" s="80">
        <v>0</v>
      </c>
      <c r="L108" s="44">
        <v>0</v>
      </c>
      <c r="M108" s="111">
        <v>0</v>
      </c>
      <c r="N108" s="123">
        <v>0</v>
      </c>
      <c r="O108" s="44">
        <v>0</v>
      </c>
      <c r="P108" s="44">
        <v>0</v>
      </c>
      <c r="Q108" s="150">
        <v>0</v>
      </c>
      <c r="R108" s="225">
        <v>0</v>
      </c>
      <c r="S108" s="57">
        <v>0</v>
      </c>
      <c r="T108" s="57">
        <v>0</v>
      </c>
      <c r="U108" s="57">
        <v>0</v>
      </c>
      <c r="V108" s="57">
        <v>0</v>
      </c>
      <c r="W108" s="115">
        <v>0</v>
      </c>
      <c r="X108" s="115">
        <v>0</v>
      </c>
      <c r="Y108" s="115">
        <v>0</v>
      </c>
      <c r="Z108" s="115">
        <v>0</v>
      </c>
    </row>
    <row r="109" spans="1:26" ht="28.5" customHeight="1">
      <c r="A109" s="259" t="s">
        <v>92</v>
      </c>
      <c r="B109" s="259"/>
      <c r="C109" s="259"/>
      <c r="D109" s="259"/>
      <c r="E109" s="259"/>
      <c r="F109" s="73"/>
      <c r="G109" s="73"/>
      <c r="H109" s="73"/>
      <c r="I109" s="73"/>
      <c r="J109" s="75"/>
      <c r="K109" s="75"/>
      <c r="L109" s="76"/>
      <c r="M109" s="76"/>
      <c r="N109" s="77"/>
      <c r="O109" s="77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</row>
    <row r="110" spans="1:26" ht="31.5" customHeight="1">
      <c r="A110" s="10" t="s">
        <v>93</v>
      </c>
      <c r="B110" s="258" t="s">
        <v>187</v>
      </c>
      <c r="C110" s="258"/>
      <c r="D110" s="258"/>
      <c r="E110" s="258"/>
      <c r="F110" s="19"/>
      <c r="G110" s="19"/>
      <c r="H110" s="19"/>
      <c r="I110" s="19"/>
      <c r="J110" s="48">
        <v>0</v>
      </c>
      <c r="K110" s="48">
        <v>0</v>
      </c>
      <c r="L110" s="55">
        <v>260000</v>
      </c>
      <c r="M110" s="111">
        <v>260000</v>
      </c>
      <c r="N110" s="123">
        <v>115125</v>
      </c>
      <c r="O110" s="55">
        <v>115125</v>
      </c>
      <c r="P110" s="130">
        <f>391098+160000</f>
        <v>551098</v>
      </c>
      <c r="Q110" s="130">
        <v>299107.74</v>
      </c>
      <c r="R110" s="48">
        <f>103120+40000+44860</f>
        <v>187980</v>
      </c>
      <c r="S110" s="48">
        <f>103120+40000+44860</f>
        <v>187980</v>
      </c>
      <c r="T110" s="48">
        <f>51570+148000+44860</f>
        <v>244430</v>
      </c>
      <c r="U110" s="48">
        <f>0+168953+32064</f>
        <v>201017</v>
      </c>
      <c r="V110" s="48">
        <f>6000000+137816-118</f>
        <v>6137698</v>
      </c>
      <c r="W110" s="48">
        <v>6000000</v>
      </c>
      <c r="X110" s="48">
        <v>6000000</v>
      </c>
      <c r="Y110" s="48">
        <v>6000000</v>
      </c>
      <c r="Z110" s="48">
        <v>6000000</v>
      </c>
    </row>
    <row r="111" spans="1:26" ht="15.75" customHeight="1">
      <c r="A111" s="10" t="s">
        <v>94</v>
      </c>
      <c r="B111" s="258" t="s">
        <v>188</v>
      </c>
      <c r="C111" s="258"/>
      <c r="D111" s="258"/>
      <c r="E111" s="258"/>
      <c r="F111" s="19"/>
      <c r="G111" s="19"/>
      <c r="H111" s="19"/>
      <c r="I111" s="19"/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  <c r="Z111" s="48">
        <v>0</v>
      </c>
    </row>
    <row r="112" spans="1:26" ht="18.75" customHeight="1">
      <c r="A112" s="10" t="s">
        <v>95</v>
      </c>
      <c r="B112" s="258" t="s">
        <v>189</v>
      </c>
      <c r="C112" s="258"/>
      <c r="D112" s="258"/>
      <c r="E112" s="258"/>
      <c r="F112" s="19"/>
      <c r="G112" s="19"/>
      <c r="H112" s="19"/>
      <c r="I112" s="19"/>
      <c r="J112" s="44">
        <f t="shared" ref="J112:Z112" si="71">SUM(J113:J115)</f>
        <v>0</v>
      </c>
      <c r="K112" s="80">
        <f t="shared" si="71"/>
        <v>0</v>
      </c>
      <c r="L112" s="44">
        <f t="shared" si="71"/>
        <v>0</v>
      </c>
      <c r="M112" s="111">
        <f t="shared" si="71"/>
        <v>0</v>
      </c>
      <c r="N112" s="123">
        <f t="shared" ref="N112" si="72">SUM(N113:N115)</f>
        <v>0</v>
      </c>
      <c r="O112" s="44">
        <f t="shared" si="71"/>
        <v>0</v>
      </c>
      <c r="P112" s="44">
        <f t="shared" si="71"/>
        <v>0</v>
      </c>
      <c r="Q112" s="150">
        <f t="shared" ref="Q112" si="73">SUM(Q113:Q115)</f>
        <v>0</v>
      </c>
      <c r="R112" s="225">
        <f t="shared" ref="R112" si="74">SUM(R113:R115)</f>
        <v>0</v>
      </c>
      <c r="S112" s="57">
        <f t="shared" si="71"/>
        <v>0</v>
      </c>
      <c r="T112" s="57">
        <f t="shared" si="71"/>
        <v>0</v>
      </c>
      <c r="U112" s="57">
        <f t="shared" si="71"/>
        <v>0</v>
      </c>
      <c r="V112" s="57">
        <f t="shared" si="71"/>
        <v>0</v>
      </c>
      <c r="W112" s="115">
        <f t="shared" si="71"/>
        <v>0</v>
      </c>
      <c r="X112" s="115">
        <f t="shared" si="71"/>
        <v>0</v>
      </c>
      <c r="Y112" s="115">
        <f t="shared" si="71"/>
        <v>0</v>
      </c>
      <c r="Z112" s="115">
        <f t="shared" si="71"/>
        <v>0</v>
      </c>
    </row>
    <row r="113" spans="1:26" ht="28.5" customHeight="1">
      <c r="A113" s="242" t="s">
        <v>96</v>
      </c>
      <c r="B113" s="242"/>
      <c r="C113" s="258" t="s">
        <v>190</v>
      </c>
      <c r="D113" s="258"/>
      <c r="E113" s="258"/>
      <c r="F113" s="19"/>
      <c r="G113" s="19"/>
      <c r="H113" s="19"/>
      <c r="I113" s="19"/>
      <c r="J113" s="44">
        <v>0</v>
      </c>
      <c r="K113" s="80">
        <v>0</v>
      </c>
      <c r="L113" s="44">
        <v>0</v>
      </c>
      <c r="M113" s="111">
        <v>0</v>
      </c>
      <c r="N113" s="123">
        <v>0</v>
      </c>
      <c r="O113" s="44">
        <v>0</v>
      </c>
      <c r="P113" s="44">
        <v>0</v>
      </c>
      <c r="Q113" s="150">
        <v>0</v>
      </c>
      <c r="R113" s="225">
        <v>0</v>
      </c>
      <c r="S113" s="57">
        <v>0</v>
      </c>
      <c r="T113" s="57">
        <v>0</v>
      </c>
      <c r="U113" s="57">
        <v>0</v>
      </c>
      <c r="V113" s="57">
        <v>0</v>
      </c>
      <c r="W113" s="115">
        <v>0</v>
      </c>
      <c r="X113" s="115">
        <v>0</v>
      </c>
      <c r="Y113" s="115">
        <v>0</v>
      </c>
      <c r="Z113" s="115">
        <v>0</v>
      </c>
    </row>
    <row r="114" spans="1:26" ht="27" customHeight="1">
      <c r="A114" s="242" t="s">
        <v>97</v>
      </c>
      <c r="B114" s="242"/>
      <c r="C114" s="258" t="s">
        <v>191</v>
      </c>
      <c r="D114" s="258"/>
      <c r="E114" s="258"/>
      <c r="F114" s="19"/>
      <c r="G114" s="19"/>
      <c r="H114" s="19"/>
      <c r="I114" s="19"/>
      <c r="J114" s="44">
        <v>0</v>
      </c>
      <c r="K114" s="80">
        <v>0</v>
      </c>
      <c r="L114" s="44">
        <v>0</v>
      </c>
      <c r="M114" s="111">
        <v>0</v>
      </c>
      <c r="N114" s="123">
        <v>0</v>
      </c>
      <c r="O114" s="44">
        <v>0</v>
      </c>
      <c r="P114" s="44">
        <v>0</v>
      </c>
      <c r="Q114" s="150">
        <v>0</v>
      </c>
      <c r="R114" s="225">
        <v>0</v>
      </c>
      <c r="S114" s="57">
        <v>0</v>
      </c>
      <c r="T114" s="57">
        <v>0</v>
      </c>
      <c r="U114" s="57">
        <v>0</v>
      </c>
      <c r="V114" s="57">
        <v>0</v>
      </c>
      <c r="W114" s="115">
        <v>0</v>
      </c>
      <c r="X114" s="115">
        <v>0</v>
      </c>
      <c r="Y114" s="115">
        <v>0</v>
      </c>
      <c r="Z114" s="115">
        <v>0</v>
      </c>
    </row>
    <row r="115" spans="1:26" ht="18.75" customHeight="1">
      <c r="A115" s="242" t="s">
        <v>98</v>
      </c>
      <c r="B115" s="242"/>
      <c r="C115" s="258" t="s">
        <v>192</v>
      </c>
      <c r="D115" s="258"/>
      <c r="E115" s="258"/>
      <c r="F115" s="19"/>
      <c r="G115" s="19"/>
      <c r="H115" s="19"/>
      <c r="I115" s="19"/>
      <c r="J115" s="44">
        <v>0</v>
      </c>
      <c r="K115" s="80">
        <v>0</v>
      </c>
      <c r="L115" s="44">
        <v>0</v>
      </c>
      <c r="M115" s="111">
        <v>0</v>
      </c>
      <c r="N115" s="123">
        <v>0</v>
      </c>
      <c r="O115" s="44">
        <v>0</v>
      </c>
      <c r="P115" s="44">
        <v>0</v>
      </c>
      <c r="Q115" s="150">
        <v>0</v>
      </c>
      <c r="R115" s="225">
        <v>0</v>
      </c>
      <c r="S115" s="57">
        <v>0</v>
      </c>
      <c r="T115" s="57">
        <v>0</v>
      </c>
      <c r="U115" s="57">
        <v>0</v>
      </c>
      <c r="V115" s="57">
        <v>0</v>
      </c>
      <c r="W115" s="115">
        <v>0</v>
      </c>
      <c r="X115" s="115">
        <v>0</v>
      </c>
      <c r="Y115" s="115">
        <v>0</v>
      </c>
      <c r="Z115" s="115">
        <v>0</v>
      </c>
    </row>
    <row r="116" spans="1:26" ht="31.5" customHeight="1">
      <c r="A116" s="10" t="s">
        <v>99</v>
      </c>
      <c r="B116" s="258" t="s">
        <v>193</v>
      </c>
      <c r="C116" s="258"/>
      <c r="D116" s="258"/>
      <c r="E116" s="258"/>
      <c r="F116" s="19"/>
      <c r="G116" s="19"/>
      <c r="H116" s="19"/>
      <c r="I116" s="19"/>
      <c r="J116" s="44">
        <v>0</v>
      </c>
      <c r="K116" s="80">
        <v>0</v>
      </c>
      <c r="L116" s="44">
        <v>0</v>
      </c>
      <c r="M116" s="111">
        <v>0</v>
      </c>
      <c r="N116" s="123">
        <v>0</v>
      </c>
      <c r="O116" s="44">
        <v>0</v>
      </c>
      <c r="P116" s="44">
        <v>0</v>
      </c>
      <c r="Q116" s="174">
        <v>251989.97</v>
      </c>
      <c r="R116" s="225">
        <v>0</v>
      </c>
      <c r="S116" s="57">
        <v>0</v>
      </c>
      <c r="T116" s="57">
        <v>0</v>
      </c>
      <c r="U116" s="57">
        <v>0</v>
      </c>
      <c r="V116" s="57">
        <v>0</v>
      </c>
      <c r="W116" s="115">
        <v>0</v>
      </c>
      <c r="X116" s="115">
        <v>0</v>
      </c>
      <c r="Y116" s="115">
        <v>0</v>
      </c>
      <c r="Z116" s="115">
        <v>0</v>
      </c>
    </row>
    <row r="117" spans="1:26" s="91" customFormat="1" ht="28.5" hidden="1" customHeight="1">
      <c r="A117" s="259" t="s">
        <v>141</v>
      </c>
      <c r="B117" s="259"/>
      <c r="C117" s="259"/>
      <c r="D117" s="259"/>
      <c r="E117" s="259"/>
      <c r="F117" s="86"/>
      <c r="G117" s="86"/>
      <c r="H117" s="86"/>
      <c r="I117" s="86"/>
      <c r="J117" s="75"/>
      <c r="K117" s="75"/>
      <c r="L117" s="76"/>
      <c r="M117" s="76"/>
      <c r="N117" s="77"/>
      <c r="O117" s="77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</row>
    <row r="118" spans="1:26" s="91" customFormat="1" ht="31.5" hidden="1" customHeight="1">
      <c r="A118" s="92" t="s">
        <v>142</v>
      </c>
      <c r="B118" s="279" t="s">
        <v>143</v>
      </c>
      <c r="C118" s="279"/>
      <c r="D118" s="279"/>
      <c r="E118" s="279"/>
      <c r="F118" s="85"/>
      <c r="G118" s="85"/>
      <c r="H118" s="85"/>
      <c r="I118" s="85"/>
      <c r="J118" s="48">
        <v>0</v>
      </c>
      <c r="K118" s="48">
        <v>0</v>
      </c>
      <c r="L118" s="98">
        <v>0</v>
      </c>
      <c r="M118" s="111">
        <v>0</v>
      </c>
      <c r="N118" s="123">
        <v>0</v>
      </c>
      <c r="O118" s="98">
        <v>0</v>
      </c>
      <c r="P118" s="98">
        <v>0</v>
      </c>
      <c r="Q118" s="150">
        <v>0</v>
      </c>
      <c r="R118" s="225">
        <v>0</v>
      </c>
      <c r="S118" s="98">
        <v>0</v>
      </c>
      <c r="T118" s="98">
        <v>0</v>
      </c>
      <c r="U118" s="98">
        <v>0</v>
      </c>
      <c r="V118" s="98">
        <v>0</v>
      </c>
      <c r="W118" s="115">
        <v>0</v>
      </c>
      <c r="X118" s="115">
        <v>0</v>
      </c>
      <c r="Y118" s="115">
        <v>0</v>
      </c>
      <c r="Z118" s="115">
        <v>0</v>
      </c>
    </row>
    <row r="119" spans="1:26" s="91" customFormat="1" ht="28.5" hidden="1" customHeight="1">
      <c r="A119" s="243" t="s">
        <v>144</v>
      </c>
      <c r="B119" s="243"/>
      <c r="C119" s="279" t="s">
        <v>194</v>
      </c>
      <c r="D119" s="279"/>
      <c r="E119" s="279"/>
      <c r="F119" s="85"/>
      <c r="G119" s="85"/>
      <c r="H119" s="85"/>
      <c r="I119" s="85"/>
      <c r="J119" s="87">
        <v>0</v>
      </c>
      <c r="K119" s="87">
        <v>0</v>
      </c>
      <c r="L119" s="98">
        <v>0</v>
      </c>
      <c r="M119" s="111">
        <v>0</v>
      </c>
      <c r="N119" s="123">
        <v>0</v>
      </c>
      <c r="O119" s="98">
        <v>0</v>
      </c>
      <c r="P119" s="98">
        <v>0</v>
      </c>
      <c r="Q119" s="150">
        <v>0</v>
      </c>
      <c r="R119" s="225">
        <v>0</v>
      </c>
      <c r="S119" s="98">
        <v>0</v>
      </c>
      <c r="T119" s="98">
        <v>0</v>
      </c>
      <c r="U119" s="98">
        <v>0</v>
      </c>
      <c r="V119" s="98">
        <v>0</v>
      </c>
      <c r="W119" s="115">
        <v>0</v>
      </c>
      <c r="X119" s="115">
        <v>0</v>
      </c>
      <c r="Y119" s="115">
        <v>0</v>
      </c>
      <c r="Z119" s="115">
        <v>0</v>
      </c>
    </row>
    <row r="120" spans="1:26" s="91" customFormat="1" ht="31.5" hidden="1" customHeight="1">
      <c r="A120" s="92" t="s">
        <v>145</v>
      </c>
      <c r="B120" s="279" t="s">
        <v>195</v>
      </c>
      <c r="C120" s="279"/>
      <c r="D120" s="279"/>
      <c r="E120" s="279"/>
      <c r="F120" s="85"/>
      <c r="G120" s="85"/>
      <c r="H120" s="85"/>
      <c r="I120" s="85"/>
      <c r="J120" s="48">
        <v>0</v>
      </c>
      <c r="K120" s="48">
        <v>0</v>
      </c>
      <c r="L120" s="98">
        <v>0</v>
      </c>
      <c r="M120" s="111">
        <v>0</v>
      </c>
      <c r="N120" s="123">
        <v>0</v>
      </c>
      <c r="O120" s="98">
        <v>0</v>
      </c>
      <c r="P120" s="98">
        <v>0</v>
      </c>
      <c r="Q120" s="150">
        <v>0</v>
      </c>
      <c r="R120" s="225">
        <v>0</v>
      </c>
      <c r="S120" s="98">
        <v>0</v>
      </c>
      <c r="T120" s="98">
        <v>0</v>
      </c>
      <c r="U120" s="98">
        <v>0</v>
      </c>
      <c r="V120" s="98">
        <v>0</v>
      </c>
      <c r="W120" s="115">
        <v>0</v>
      </c>
      <c r="X120" s="115">
        <v>0</v>
      </c>
      <c r="Y120" s="115">
        <v>0</v>
      </c>
      <c r="Z120" s="115">
        <v>0</v>
      </c>
    </row>
    <row r="121" spans="1:26" s="110" customFormat="1" ht="28.5" hidden="1" customHeight="1">
      <c r="A121" s="259" t="s">
        <v>197</v>
      </c>
      <c r="B121" s="259"/>
      <c r="C121" s="259"/>
      <c r="D121" s="259"/>
      <c r="E121" s="259"/>
      <c r="F121" s="108"/>
      <c r="G121" s="108"/>
      <c r="H121" s="108"/>
      <c r="I121" s="108"/>
      <c r="J121" s="75"/>
      <c r="K121" s="75"/>
      <c r="L121" s="76"/>
      <c r="M121" s="76"/>
      <c r="N121" s="77"/>
      <c r="O121" s="77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</row>
    <row r="122" spans="1:26" s="110" customFormat="1" ht="31.5" hidden="1" customHeight="1">
      <c r="A122" s="106" t="s">
        <v>198</v>
      </c>
      <c r="B122" s="279" t="s">
        <v>199</v>
      </c>
      <c r="C122" s="279"/>
      <c r="D122" s="279"/>
      <c r="E122" s="279"/>
      <c r="F122" s="107"/>
      <c r="G122" s="107"/>
      <c r="H122" s="107"/>
      <c r="I122" s="107"/>
      <c r="J122" s="48">
        <v>0</v>
      </c>
      <c r="K122" s="48">
        <v>0</v>
      </c>
      <c r="L122" s="109">
        <v>0</v>
      </c>
      <c r="M122" s="111">
        <v>0</v>
      </c>
      <c r="N122" s="123">
        <v>0</v>
      </c>
      <c r="O122" s="109">
        <v>0</v>
      </c>
      <c r="P122" s="109">
        <v>0</v>
      </c>
      <c r="Q122" s="150">
        <v>0</v>
      </c>
      <c r="R122" s="225">
        <v>0</v>
      </c>
      <c r="S122" s="109">
        <v>0</v>
      </c>
      <c r="T122" s="109">
        <v>0</v>
      </c>
      <c r="U122" s="109">
        <v>0</v>
      </c>
      <c r="V122" s="109">
        <v>0</v>
      </c>
      <c r="W122" s="115">
        <v>0</v>
      </c>
      <c r="X122" s="115">
        <v>0</v>
      </c>
      <c r="Y122" s="115">
        <v>0</v>
      </c>
      <c r="Z122" s="115">
        <v>0</v>
      </c>
    </row>
    <row r="123" spans="1:26" s="110" customFormat="1" ht="21" hidden="1" customHeight="1">
      <c r="A123" s="106" t="s">
        <v>200</v>
      </c>
      <c r="B123" s="279" t="s">
        <v>201</v>
      </c>
      <c r="C123" s="279"/>
      <c r="D123" s="279"/>
      <c r="E123" s="279"/>
      <c r="F123" s="107"/>
      <c r="G123" s="107"/>
      <c r="H123" s="107"/>
      <c r="I123" s="107"/>
      <c r="J123" s="48">
        <v>0</v>
      </c>
      <c r="K123" s="48">
        <v>0</v>
      </c>
      <c r="L123" s="109">
        <v>0</v>
      </c>
      <c r="M123" s="111">
        <v>0</v>
      </c>
      <c r="N123" s="123">
        <v>0</v>
      </c>
      <c r="O123" s="109">
        <v>0</v>
      </c>
      <c r="P123" s="109">
        <v>0</v>
      </c>
      <c r="Q123" s="150">
        <v>0</v>
      </c>
      <c r="R123" s="225">
        <v>0</v>
      </c>
      <c r="S123" s="109">
        <v>0</v>
      </c>
      <c r="T123" s="109">
        <v>0</v>
      </c>
      <c r="U123" s="109">
        <v>0</v>
      </c>
      <c r="V123" s="109">
        <v>0</v>
      </c>
      <c r="W123" s="115">
        <v>0</v>
      </c>
      <c r="X123" s="115">
        <v>0</v>
      </c>
      <c r="Y123" s="115">
        <v>0</v>
      </c>
      <c r="Z123" s="115">
        <v>0</v>
      </c>
    </row>
    <row r="124" spans="1:26" s="110" customFormat="1" ht="21" hidden="1" customHeight="1">
      <c r="A124" s="106" t="s">
        <v>202</v>
      </c>
      <c r="B124" s="279" t="s">
        <v>203</v>
      </c>
      <c r="C124" s="279"/>
      <c r="D124" s="279"/>
      <c r="E124" s="279"/>
      <c r="F124" s="107"/>
      <c r="G124" s="107"/>
      <c r="H124" s="107"/>
      <c r="I124" s="107"/>
      <c r="J124" s="48">
        <v>0</v>
      </c>
      <c r="K124" s="48">
        <v>0</v>
      </c>
      <c r="L124" s="109">
        <v>0</v>
      </c>
      <c r="M124" s="111">
        <v>0</v>
      </c>
      <c r="N124" s="123">
        <v>0</v>
      </c>
      <c r="O124" s="109">
        <v>0</v>
      </c>
      <c r="P124" s="109">
        <v>0</v>
      </c>
      <c r="Q124" s="150">
        <v>0</v>
      </c>
      <c r="R124" s="225">
        <v>0</v>
      </c>
      <c r="S124" s="109">
        <v>0</v>
      </c>
      <c r="T124" s="109">
        <v>0</v>
      </c>
      <c r="U124" s="109">
        <v>0</v>
      </c>
      <c r="V124" s="109">
        <v>0</v>
      </c>
      <c r="W124" s="115">
        <v>0</v>
      </c>
      <c r="X124" s="115">
        <v>0</v>
      </c>
      <c r="Y124" s="115">
        <v>0</v>
      </c>
      <c r="Z124" s="115">
        <v>0</v>
      </c>
    </row>
    <row r="125" spans="1:26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>
      <c r="A126" s="281"/>
      <c r="B126" s="281"/>
      <c r="C126" s="281"/>
      <c r="D126" s="281"/>
      <c r="E126" s="281"/>
      <c r="F126" s="281"/>
      <c r="G126" s="281"/>
      <c r="H126" s="281"/>
      <c r="I126" s="281"/>
      <c r="J126" s="281"/>
      <c r="K126" s="281"/>
      <c r="L126" s="281"/>
      <c r="M126" s="281"/>
      <c r="N126" s="281"/>
      <c r="O126" s="281"/>
      <c r="P126" s="281"/>
      <c r="Q126" s="153"/>
      <c r="S126" s="1"/>
      <c r="T126" s="1"/>
      <c r="U126" s="1"/>
      <c r="V126" s="1"/>
    </row>
    <row r="127" spans="1:26" ht="24.75" customHeight="1">
      <c r="A127" s="281"/>
      <c r="B127" s="281"/>
      <c r="C127" s="281"/>
      <c r="D127" s="281"/>
      <c r="E127" s="281"/>
      <c r="F127" s="281"/>
      <c r="G127" s="281"/>
      <c r="H127" s="281"/>
      <c r="I127" s="281"/>
      <c r="J127" s="281"/>
      <c r="K127" s="281"/>
      <c r="L127" s="281"/>
      <c r="M127" s="281"/>
      <c r="N127" s="281"/>
      <c r="O127" s="281"/>
      <c r="P127" s="281"/>
      <c r="Q127" s="153"/>
      <c r="S127" s="1"/>
      <c r="T127" s="1"/>
      <c r="U127" s="1"/>
      <c r="V127" s="1"/>
    </row>
    <row r="128" spans="1:26" ht="28.5" customHeight="1">
      <c r="A128" s="281"/>
      <c r="B128" s="281"/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281"/>
      <c r="N128" s="281"/>
      <c r="O128" s="281"/>
      <c r="P128" s="281"/>
      <c r="Q128" s="153"/>
      <c r="S128" s="1"/>
      <c r="T128" s="1"/>
      <c r="U128" s="1"/>
      <c r="V128" s="1"/>
    </row>
    <row r="129" spans="1:22" ht="15.75" customHeight="1">
      <c r="A129" s="282"/>
      <c r="B129" s="282"/>
      <c r="C129" s="282"/>
      <c r="D129" s="282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2"/>
      <c r="P129" s="282"/>
      <c r="Q129" s="154"/>
      <c r="S129" s="1"/>
      <c r="T129" s="1"/>
      <c r="U129" s="1"/>
      <c r="V129" s="1"/>
    </row>
    <row r="130" spans="1:22">
      <c r="A130" s="5"/>
    </row>
    <row r="131" spans="1:22">
      <c r="A131" s="3"/>
      <c r="B131" s="2"/>
      <c r="C131" s="2"/>
      <c r="D131" s="2"/>
      <c r="E131" s="2"/>
      <c r="J131" s="2"/>
      <c r="L131" s="2"/>
      <c r="O131" s="2"/>
      <c r="P131" s="2"/>
    </row>
    <row r="135" spans="1:22">
      <c r="A135" s="276"/>
      <c r="B135" s="277"/>
      <c r="C135" s="277"/>
      <c r="D135" s="277"/>
      <c r="E135" s="277"/>
      <c r="F135" s="277"/>
      <c r="G135" s="277"/>
      <c r="H135" s="277"/>
      <c r="I135" s="277"/>
      <c r="J135" s="277"/>
      <c r="K135" s="277"/>
      <c r="L135" s="277"/>
      <c r="M135" s="277"/>
      <c r="N135" s="277"/>
      <c r="O135" s="277"/>
      <c r="P135" s="277"/>
      <c r="Q135" s="277"/>
      <c r="R135" s="277"/>
      <c r="S135" s="277"/>
      <c r="T135" s="277"/>
      <c r="U135" s="277"/>
      <c r="V135" s="1"/>
    </row>
    <row r="136" spans="1:22">
      <c r="A136" s="276"/>
      <c r="B136" s="277"/>
      <c r="C136" s="277"/>
      <c r="D136" s="277"/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  <c r="Q136" s="277"/>
      <c r="R136" s="277"/>
      <c r="S136" s="277"/>
      <c r="T136" s="277"/>
      <c r="U136" s="277"/>
      <c r="V136" s="1"/>
    </row>
    <row r="137" spans="1:22">
      <c r="A137" s="276"/>
      <c r="B137" s="277"/>
      <c r="C137" s="277"/>
      <c r="D137" s="277"/>
      <c r="E137" s="277"/>
      <c r="F137" s="277"/>
      <c r="G137" s="277"/>
      <c r="H137" s="277"/>
      <c r="I137" s="277"/>
      <c r="J137" s="277"/>
      <c r="K137" s="277"/>
      <c r="L137" s="277"/>
      <c r="M137" s="277"/>
      <c r="N137" s="277"/>
      <c r="O137" s="277"/>
      <c r="P137" s="277"/>
      <c r="Q137" s="277"/>
      <c r="R137" s="277"/>
      <c r="S137" s="277"/>
      <c r="T137" s="277"/>
      <c r="U137" s="277"/>
      <c r="V137" s="1"/>
    </row>
    <row r="138" spans="1:22">
      <c r="A138" s="276"/>
      <c r="B138" s="277"/>
      <c r="C138" s="277"/>
      <c r="D138" s="277"/>
      <c r="E138" s="277"/>
      <c r="F138" s="277"/>
      <c r="G138" s="277"/>
      <c r="H138" s="277"/>
      <c r="I138" s="277"/>
      <c r="J138" s="277"/>
      <c r="K138" s="277"/>
      <c r="L138" s="277"/>
      <c r="M138" s="277"/>
      <c r="N138" s="277"/>
      <c r="O138" s="277"/>
      <c r="P138" s="277"/>
      <c r="Q138" s="277"/>
      <c r="R138" s="277"/>
      <c r="S138" s="277"/>
      <c r="T138" s="277"/>
      <c r="U138" s="277"/>
      <c r="V138" s="1"/>
    </row>
    <row r="139" spans="1:22">
      <c r="A139" s="276"/>
      <c r="B139" s="277"/>
      <c r="C139" s="277"/>
      <c r="D139" s="277"/>
      <c r="E139" s="277"/>
      <c r="F139" s="277"/>
      <c r="G139" s="277"/>
      <c r="H139" s="277"/>
      <c r="I139" s="277"/>
      <c r="J139" s="277"/>
      <c r="K139" s="277"/>
      <c r="L139" s="277"/>
      <c r="M139" s="277"/>
      <c r="N139" s="277"/>
      <c r="O139" s="277"/>
      <c r="P139" s="277"/>
      <c r="Q139" s="277"/>
      <c r="R139" s="277"/>
      <c r="S139" s="277"/>
      <c r="T139" s="277"/>
      <c r="U139" s="277"/>
      <c r="V139" s="1"/>
    </row>
    <row r="140" spans="1:22">
      <c r="A140" s="276"/>
      <c r="B140" s="277"/>
      <c r="C140" s="277"/>
      <c r="D140" s="277"/>
      <c r="E140" s="277"/>
      <c r="F140" s="277"/>
      <c r="G140" s="277"/>
      <c r="H140" s="277"/>
      <c r="I140" s="277"/>
      <c r="J140" s="277"/>
      <c r="K140" s="277"/>
      <c r="L140" s="277"/>
      <c r="M140" s="277"/>
      <c r="N140" s="277"/>
      <c r="O140" s="277"/>
      <c r="P140" s="277"/>
      <c r="Q140" s="277"/>
      <c r="R140" s="277"/>
      <c r="S140" s="277"/>
      <c r="T140" s="277"/>
      <c r="U140" s="277"/>
      <c r="V140" s="1"/>
    </row>
    <row r="141" spans="1:22">
      <c r="A141" s="276"/>
      <c r="B141" s="277"/>
      <c r="C141" s="277"/>
      <c r="D141" s="277"/>
      <c r="E141" s="277"/>
      <c r="F141" s="277"/>
      <c r="G141" s="277"/>
      <c r="H141" s="277"/>
      <c r="I141" s="277"/>
      <c r="J141" s="277"/>
      <c r="K141" s="277"/>
      <c r="L141" s="277"/>
      <c r="M141" s="277"/>
      <c r="N141" s="277"/>
      <c r="O141" s="277"/>
      <c r="P141" s="277"/>
      <c r="Q141" s="277"/>
      <c r="R141" s="277"/>
      <c r="S141" s="277"/>
      <c r="T141" s="277"/>
      <c r="U141" s="277"/>
      <c r="V141" s="1"/>
    </row>
    <row r="142" spans="1:22">
      <c r="A142" s="276"/>
      <c r="B142" s="277"/>
      <c r="C142" s="277"/>
      <c r="D142" s="277"/>
      <c r="E142" s="277"/>
      <c r="F142" s="277"/>
      <c r="G142" s="277"/>
      <c r="H142" s="277"/>
      <c r="I142" s="277"/>
      <c r="J142" s="277"/>
      <c r="K142" s="277"/>
      <c r="L142" s="277"/>
      <c r="M142" s="277"/>
      <c r="N142" s="277"/>
      <c r="O142" s="277"/>
      <c r="P142" s="277"/>
      <c r="Q142" s="277"/>
      <c r="R142" s="277"/>
      <c r="S142" s="277"/>
      <c r="T142" s="277"/>
      <c r="U142" s="277"/>
      <c r="V142" s="1"/>
    </row>
    <row r="143" spans="1:22">
      <c r="A143" s="276"/>
      <c r="B143" s="277"/>
      <c r="C143" s="277"/>
      <c r="D143" s="277"/>
      <c r="E143" s="277"/>
      <c r="F143" s="277"/>
      <c r="G143" s="277"/>
      <c r="H143" s="277"/>
      <c r="I143" s="277"/>
      <c r="J143" s="277"/>
      <c r="K143" s="277"/>
      <c r="L143" s="277"/>
      <c r="M143" s="277"/>
      <c r="N143" s="277"/>
      <c r="O143" s="277"/>
      <c r="P143" s="277"/>
      <c r="Q143" s="277"/>
      <c r="R143" s="277"/>
      <c r="S143" s="277"/>
      <c r="T143" s="277"/>
      <c r="U143" s="277"/>
      <c r="V143" s="1"/>
    </row>
    <row r="144" spans="1:22">
      <c r="A144" s="276"/>
      <c r="B144" s="277"/>
      <c r="C144" s="277"/>
      <c r="D144" s="277"/>
      <c r="E144" s="277"/>
      <c r="F144" s="277"/>
      <c r="G144" s="277"/>
      <c r="H144" s="277"/>
      <c r="I144" s="277"/>
      <c r="J144" s="277"/>
      <c r="K144" s="277"/>
      <c r="L144" s="277"/>
      <c r="M144" s="277"/>
      <c r="N144" s="277"/>
      <c r="O144" s="277"/>
      <c r="P144" s="277"/>
      <c r="Q144" s="277"/>
      <c r="R144" s="277"/>
      <c r="S144" s="277"/>
      <c r="T144" s="277"/>
      <c r="U144" s="277"/>
      <c r="V144" s="1"/>
    </row>
    <row r="145" spans="1:22">
      <c r="A145" s="276"/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  <c r="Q145" s="277"/>
      <c r="R145" s="277"/>
      <c r="S145" s="277"/>
      <c r="T145" s="277"/>
      <c r="U145" s="277"/>
      <c r="V145" s="1"/>
    </row>
    <row r="146" spans="1:22">
      <c r="A146" s="276"/>
      <c r="B146" s="277"/>
      <c r="C146" s="277"/>
      <c r="D146" s="277"/>
      <c r="E146" s="277"/>
      <c r="F146" s="277"/>
      <c r="G146" s="277"/>
      <c r="H146" s="277"/>
      <c r="I146" s="277"/>
      <c r="J146" s="277"/>
      <c r="K146" s="277"/>
      <c r="L146" s="277"/>
      <c r="M146" s="277"/>
      <c r="N146" s="277"/>
      <c r="O146" s="277"/>
      <c r="P146" s="277"/>
      <c r="Q146" s="277"/>
      <c r="R146" s="277"/>
      <c r="S146" s="277"/>
      <c r="T146" s="277"/>
      <c r="U146" s="277"/>
      <c r="V146" s="1"/>
    </row>
    <row r="147" spans="1:22">
      <c r="A147" s="276"/>
      <c r="B147" s="277"/>
      <c r="C147" s="277"/>
      <c r="D147" s="277"/>
      <c r="E147" s="277"/>
      <c r="F147" s="277"/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  <c r="Q147" s="277"/>
      <c r="R147" s="277"/>
      <c r="S147" s="277"/>
      <c r="T147" s="277"/>
      <c r="U147" s="277"/>
      <c r="V147" s="1"/>
    </row>
    <row r="148" spans="1:22">
      <c r="A148" s="276"/>
      <c r="B148" s="277"/>
      <c r="C148" s="277"/>
      <c r="D148" s="277"/>
      <c r="E148" s="277"/>
      <c r="F148" s="277"/>
      <c r="G148" s="277"/>
      <c r="H148" s="277"/>
      <c r="I148" s="277"/>
      <c r="J148" s="277"/>
      <c r="K148" s="277"/>
      <c r="L148" s="277"/>
      <c r="M148" s="277"/>
      <c r="N148" s="277"/>
      <c r="O148" s="277"/>
      <c r="P148" s="277"/>
      <c r="Q148" s="277"/>
      <c r="R148" s="277"/>
      <c r="S148" s="277"/>
      <c r="T148" s="277"/>
      <c r="U148" s="277"/>
      <c r="V148" s="1"/>
    </row>
    <row r="149" spans="1:22">
      <c r="A149" s="276"/>
      <c r="B149" s="277"/>
      <c r="C149" s="277"/>
      <c r="D149" s="277"/>
      <c r="E149" s="277"/>
      <c r="F149" s="277"/>
      <c r="G149" s="277"/>
      <c r="H149" s="277"/>
      <c r="I149" s="277"/>
      <c r="J149" s="277"/>
      <c r="K149" s="277"/>
      <c r="L149" s="277"/>
      <c r="M149" s="277"/>
      <c r="N149" s="277"/>
      <c r="O149" s="277"/>
      <c r="P149" s="277"/>
      <c r="Q149" s="277"/>
      <c r="R149" s="277"/>
      <c r="S149" s="277"/>
      <c r="T149" s="277"/>
      <c r="U149" s="277"/>
      <c r="V149" s="1"/>
    </row>
    <row r="150" spans="1:22">
      <c r="A150" s="276"/>
      <c r="B150" s="277"/>
      <c r="C150" s="277"/>
      <c r="D150" s="277"/>
      <c r="E150" s="277"/>
      <c r="F150" s="277"/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1"/>
    </row>
    <row r="151" spans="1:22">
      <c r="A151" s="276"/>
      <c r="B151" s="277"/>
      <c r="C151" s="277"/>
      <c r="D151" s="277"/>
      <c r="E151" s="277"/>
      <c r="F151" s="277"/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1"/>
    </row>
    <row r="152" spans="1:22">
      <c r="A152" s="276"/>
      <c r="B152" s="277"/>
      <c r="C152" s="277"/>
      <c r="D152" s="277"/>
      <c r="E152" s="277"/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1"/>
    </row>
    <row r="153" spans="1:22">
      <c r="A153" s="276"/>
      <c r="B153" s="277"/>
      <c r="C153" s="277"/>
      <c r="D153" s="277"/>
      <c r="E153" s="277"/>
      <c r="F153" s="277"/>
      <c r="G153" s="277"/>
      <c r="H153" s="277"/>
      <c r="I153" s="277"/>
      <c r="J153" s="277"/>
      <c r="K153" s="277"/>
      <c r="L153" s="277"/>
      <c r="M153" s="277"/>
      <c r="N153" s="277"/>
      <c r="O153" s="277"/>
      <c r="P153" s="277"/>
      <c r="Q153" s="277"/>
      <c r="R153" s="277"/>
      <c r="S153" s="277"/>
      <c r="T153" s="277"/>
      <c r="U153" s="277"/>
      <c r="V153" s="1"/>
    </row>
    <row r="154" spans="1:22">
      <c r="A154" s="276"/>
      <c r="B154" s="277"/>
      <c r="C154" s="277"/>
      <c r="D154" s="277"/>
      <c r="E154" s="277"/>
      <c r="F154" s="277"/>
      <c r="G154" s="277"/>
      <c r="H154" s="277"/>
      <c r="I154" s="277"/>
      <c r="J154" s="277"/>
      <c r="K154" s="277"/>
      <c r="L154" s="277"/>
      <c r="M154" s="277"/>
      <c r="N154" s="277"/>
      <c r="O154" s="277"/>
      <c r="P154" s="277"/>
      <c r="Q154" s="277"/>
      <c r="R154" s="277"/>
      <c r="S154" s="277"/>
      <c r="T154" s="277"/>
      <c r="U154" s="277"/>
      <c r="V154" s="1"/>
    </row>
    <row r="155" spans="1:22">
      <c r="A155" s="276"/>
      <c r="B155" s="277"/>
      <c r="C155" s="277"/>
      <c r="D155" s="277"/>
      <c r="E155" s="277"/>
      <c r="F155" s="277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  <c r="Q155" s="277"/>
      <c r="R155" s="277"/>
      <c r="S155" s="277"/>
      <c r="T155" s="277"/>
      <c r="U155" s="277"/>
      <c r="V155" s="1"/>
    </row>
    <row r="156" spans="1:22">
      <c r="A156" s="276"/>
      <c r="B156" s="277"/>
      <c r="C156" s="277"/>
      <c r="D156" s="277"/>
      <c r="E156" s="277"/>
      <c r="F156" s="277"/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  <c r="Q156" s="277"/>
      <c r="R156" s="277"/>
      <c r="S156" s="277"/>
      <c r="T156" s="277"/>
      <c r="U156" s="277"/>
      <c r="V156" s="1"/>
    </row>
    <row r="157" spans="1:22">
      <c r="A157" s="276"/>
      <c r="B157" s="277"/>
      <c r="C157" s="277"/>
      <c r="D157" s="277"/>
      <c r="E157" s="277"/>
      <c r="F157" s="277"/>
      <c r="G157" s="277"/>
      <c r="H157" s="277"/>
      <c r="I157" s="277"/>
      <c r="J157" s="277"/>
      <c r="K157" s="277"/>
      <c r="L157" s="277"/>
      <c r="M157" s="277"/>
      <c r="N157" s="277"/>
      <c r="O157" s="277"/>
      <c r="P157" s="277"/>
      <c r="Q157" s="277"/>
      <c r="R157" s="277"/>
      <c r="S157" s="277"/>
      <c r="T157" s="277"/>
      <c r="U157" s="277"/>
      <c r="V157" s="1"/>
    </row>
    <row r="158" spans="1:22">
      <c r="A158" s="276"/>
      <c r="B158" s="277"/>
      <c r="C158" s="277"/>
      <c r="D158" s="277"/>
      <c r="E158" s="277"/>
      <c r="F158" s="277"/>
      <c r="G158" s="277"/>
      <c r="H158" s="277"/>
      <c r="I158" s="277"/>
      <c r="J158" s="277"/>
      <c r="K158" s="277"/>
      <c r="L158" s="277"/>
      <c r="M158" s="277"/>
      <c r="N158" s="277"/>
      <c r="O158" s="277"/>
      <c r="P158" s="277"/>
      <c r="Q158" s="277"/>
      <c r="R158" s="277"/>
      <c r="S158" s="277"/>
      <c r="T158" s="277"/>
      <c r="U158" s="277"/>
      <c r="V158" s="1"/>
    </row>
    <row r="159" spans="1:22">
      <c r="A159" s="276"/>
      <c r="B159" s="277"/>
      <c r="C159" s="277"/>
      <c r="D159" s="277"/>
      <c r="E159" s="277"/>
      <c r="F159" s="277"/>
      <c r="G159" s="277"/>
      <c r="H159" s="277"/>
      <c r="I159" s="277"/>
      <c r="J159" s="277"/>
      <c r="K159" s="277"/>
      <c r="L159" s="277"/>
      <c r="M159" s="277"/>
      <c r="N159" s="277"/>
      <c r="O159" s="277"/>
      <c r="P159" s="277"/>
      <c r="Q159" s="277"/>
      <c r="R159" s="277"/>
      <c r="S159" s="277"/>
      <c r="T159" s="277"/>
      <c r="U159" s="277"/>
      <c r="V159" s="1"/>
    </row>
    <row r="160" spans="1:22">
      <c r="A160" s="276"/>
      <c r="B160" s="277"/>
      <c r="C160" s="277"/>
      <c r="D160" s="277"/>
      <c r="E160" s="277"/>
      <c r="F160" s="277"/>
      <c r="G160" s="277"/>
      <c r="H160" s="277"/>
      <c r="I160" s="277"/>
      <c r="J160" s="277"/>
      <c r="K160" s="277"/>
      <c r="L160" s="277"/>
      <c r="M160" s="277"/>
      <c r="N160" s="277"/>
      <c r="O160" s="277"/>
      <c r="P160" s="277"/>
      <c r="Q160" s="277"/>
      <c r="R160" s="277"/>
      <c r="S160" s="277"/>
      <c r="T160" s="277"/>
      <c r="U160" s="277"/>
      <c r="V160" s="1"/>
    </row>
    <row r="161" spans="1:22">
      <c r="A161" s="276"/>
      <c r="B161" s="277"/>
      <c r="C161" s="277"/>
      <c r="D161" s="277"/>
      <c r="E161" s="277"/>
      <c r="F161" s="277"/>
      <c r="G161" s="277"/>
      <c r="H161" s="277"/>
      <c r="I161" s="277"/>
      <c r="J161" s="277"/>
      <c r="K161" s="277"/>
      <c r="L161" s="277"/>
      <c r="M161" s="277"/>
      <c r="N161" s="277"/>
      <c r="O161" s="277"/>
      <c r="P161" s="277"/>
      <c r="Q161" s="277"/>
      <c r="R161" s="277"/>
      <c r="S161" s="277"/>
      <c r="T161" s="277"/>
      <c r="U161" s="277"/>
      <c r="V161" s="1"/>
    </row>
    <row r="162" spans="1:22">
      <c r="A162" s="276"/>
      <c r="B162" s="277"/>
      <c r="C162" s="277"/>
      <c r="D162" s="277"/>
      <c r="E162" s="277"/>
      <c r="F162" s="277"/>
      <c r="G162" s="277"/>
      <c r="H162" s="277"/>
      <c r="I162" s="277"/>
      <c r="J162" s="277"/>
      <c r="K162" s="277"/>
      <c r="L162" s="277"/>
      <c r="M162" s="277"/>
      <c r="N162" s="277"/>
      <c r="O162" s="277"/>
      <c r="P162" s="277"/>
      <c r="Q162" s="277"/>
      <c r="R162" s="277"/>
      <c r="S162" s="277"/>
      <c r="T162" s="277"/>
      <c r="U162" s="277"/>
      <c r="V162" s="1"/>
    </row>
    <row r="163" spans="1:22">
      <c r="A163" s="276"/>
      <c r="B163" s="277"/>
      <c r="C163" s="277"/>
      <c r="D163" s="277"/>
      <c r="E163" s="277"/>
      <c r="F163" s="277"/>
      <c r="G163" s="277"/>
      <c r="H163" s="277"/>
      <c r="I163" s="277"/>
      <c r="J163" s="277"/>
      <c r="K163" s="277"/>
      <c r="L163" s="277"/>
      <c r="M163" s="277"/>
      <c r="N163" s="277"/>
      <c r="O163" s="277"/>
      <c r="P163" s="277"/>
      <c r="Q163" s="277"/>
      <c r="R163" s="277"/>
      <c r="S163" s="277"/>
      <c r="T163" s="277"/>
      <c r="U163" s="277"/>
      <c r="V163" s="1"/>
    </row>
    <row r="164" spans="1:22">
      <c r="A164" s="276"/>
      <c r="B164" s="277"/>
      <c r="C164" s="277"/>
      <c r="D164" s="277"/>
      <c r="E164" s="277"/>
      <c r="F164" s="277"/>
      <c r="G164" s="277"/>
      <c r="H164" s="277"/>
      <c r="I164" s="277"/>
      <c r="J164" s="277"/>
      <c r="K164" s="277"/>
      <c r="L164" s="277"/>
      <c r="M164" s="277"/>
      <c r="N164" s="277"/>
      <c r="O164" s="277"/>
      <c r="P164" s="277"/>
      <c r="Q164" s="277"/>
      <c r="R164" s="277"/>
      <c r="S164" s="277"/>
      <c r="T164" s="277"/>
      <c r="U164" s="277"/>
      <c r="V164" s="1"/>
    </row>
    <row r="165" spans="1:22">
      <c r="A165" s="276"/>
      <c r="B165" s="277"/>
      <c r="C165" s="277"/>
      <c r="D165" s="277"/>
      <c r="E165" s="277"/>
      <c r="F165" s="277"/>
      <c r="G165" s="277"/>
      <c r="H165" s="277"/>
      <c r="I165" s="277"/>
      <c r="J165" s="277"/>
      <c r="K165" s="277"/>
      <c r="L165" s="277"/>
      <c r="M165" s="277"/>
      <c r="N165" s="277"/>
      <c r="O165" s="277"/>
      <c r="P165" s="277"/>
      <c r="Q165" s="277"/>
      <c r="R165" s="277"/>
      <c r="S165" s="277"/>
      <c r="T165" s="277"/>
      <c r="U165" s="277"/>
      <c r="V165" s="1"/>
    </row>
    <row r="166" spans="1:22">
      <c r="A166" s="276"/>
      <c r="B166" s="277"/>
      <c r="C166" s="277"/>
      <c r="D166" s="277"/>
      <c r="E166" s="277"/>
      <c r="F166" s="277"/>
      <c r="G166" s="277"/>
      <c r="H166" s="277"/>
      <c r="I166" s="277"/>
      <c r="J166" s="277"/>
      <c r="K166" s="277"/>
      <c r="L166" s="277"/>
      <c r="M166" s="277"/>
      <c r="N166" s="277"/>
      <c r="O166" s="277"/>
      <c r="P166" s="277"/>
      <c r="Q166" s="277"/>
      <c r="R166" s="277"/>
      <c r="S166" s="277"/>
      <c r="T166" s="277"/>
      <c r="U166" s="277"/>
      <c r="V166" s="1"/>
    </row>
    <row r="167" spans="1:22">
      <c r="A167" s="276"/>
      <c r="B167" s="277"/>
      <c r="C167" s="277"/>
      <c r="D167" s="277"/>
      <c r="E167" s="277"/>
      <c r="F167" s="277"/>
      <c r="G167" s="277"/>
      <c r="H167" s="277"/>
      <c r="I167" s="277"/>
      <c r="J167" s="277"/>
      <c r="K167" s="277"/>
      <c r="L167" s="277"/>
      <c r="M167" s="277"/>
      <c r="N167" s="277"/>
      <c r="O167" s="277"/>
      <c r="P167" s="277"/>
      <c r="Q167" s="277"/>
      <c r="R167" s="277"/>
      <c r="S167" s="277"/>
      <c r="T167" s="277"/>
      <c r="U167" s="277"/>
      <c r="V167" s="1"/>
    </row>
    <row r="168" spans="1:22">
      <c r="A168" s="276"/>
      <c r="B168" s="277"/>
      <c r="C168" s="277"/>
      <c r="D168" s="277"/>
      <c r="E168" s="277"/>
      <c r="F168" s="277"/>
      <c r="G168" s="277"/>
      <c r="H168" s="277"/>
      <c r="I168" s="277"/>
      <c r="J168" s="277"/>
      <c r="K168" s="277"/>
      <c r="L168" s="277"/>
      <c r="M168" s="277"/>
      <c r="N168" s="277"/>
      <c r="O168" s="277"/>
      <c r="P168" s="277"/>
      <c r="Q168" s="277"/>
      <c r="R168" s="277"/>
      <c r="S168" s="277"/>
      <c r="T168" s="277"/>
      <c r="U168" s="277"/>
      <c r="V168" s="1"/>
    </row>
    <row r="169" spans="1:22">
      <c r="A169" s="276"/>
      <c r="B169" s="277"/>
      <c r="C169" s="277"/>
      <c r="D169" s="277"/>
      <c r="E169" s="277"/>
      <c r="F169" s="277"/>
      <c r="G169" s="277"/>
      <c r="H169" s="277"/>
      <c r="I169" s="277"/>
      <c r="J169" s="277"/>
      <c r="K169" s="277"/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  <c r="V169" s="1"/>
    </row>
    <row r="170" spans="1:22">
      <c r="A170" s="276"/>
      <c r="B170" s="277"/>
      <c r="C170" s="277"/>
      <c r="D170" s="277"/>
      <c r="E170" s="277"/>
      <c r="F170" s="277"/>
      <c r="G170" s="277"/>
      <c r="H170" s="277"/>
      <c r="I170" s="277"/>
      <c r="J170" s="277"/>
      <c r="K170" s="277"/>
      <c r="L170" s="277"/>
      <c r="M170" s="277"/>
      <c r="N170" s="277"/>
      <c r="O170" s="277"/>
      <c r="P170" s="277"/>
      <c r="Q170" s="277"/>
      <c r="R170" s="277"/>
      <c r="S170" s="277"/>
      <c r="T170" s="277"/>
      <c r="U170" s="277"/>
      <c r="V170" s="1"/>
    </row>
    <row r="171" spans="1:22">
      <c r="A171" s="276"/>
      <c r="B171" s="277"/>
      <c r="C171" s="277"/>
      <c r="D171" s="277"/>
      <c r="E171" s="277"/>
      <c r="F171" s="277"/>
      <c r="G171" s="277"/>
      <c r="H171" s="277"/>
      <c r="I171" s="277"/>
      <c r="J171" s="277"/>
      <c r="K171" s="277"/>
      <c r="L171" s="277"/>
      <c r="M171" s="277"/>
      <c r="N171" s="277"/>
      <c r="O171" s="277"/>
      <c r="P171" s="277"/>
      <c r="Q171" s="277"/>
      <c r="R171" s="277"/>
      <c r="S171" s="277"/>
      <c r="T171" s="277"/>
      <c r="U171" s="277"/>
      <c r="V171" s="1"/>
    </row>
    <row r="172" spans="1:22">
      <c r="A172" s="276"/>
      <c r="B172" s="277"/>
      <c r="C172" s="277"/>
      <c r="D172" s="277"/>
      <c r="E172" s="277"/>
      <c r="F172" s="277"/>
      <c r="G172" s="277"/>
      <c r="H172" s="277"/>
      <c r="I172" s="277"/>
      <c r="J172" s="277"/>
      <c r="K172" s="277"/>
      <c r="L172" s="277"/>
      <c r="M172" s="277"/>
      <c r="N172" s="277"/>
      <c r="O172" s="277"/>
      <c r="P172" s="277"/>
      <c r="Q172" s="277"/>
      <c r="R172" s="277"/>
      <c r="S172" s="277"/>
      <c r="T172" s="277"/>
      <c r="U172" s="277"/>
      <c r="V172" s="1"/>
    </row>
    <row r="173" spans="1:22">
      <c r="A173" s="276"/>
      <c r="B173" s="277"/>
      <c r="C173" s="277"/>
      <c r="D173" s="277"/>
      <c r="E173" s="277"/>
      <c r="F173" s="277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  <c r="Q173" s="277"/>
      <c r="R173" s="277"/>
      <c r="S173" s="277"/>
      <c r="T173" s="277"/>
      <c r="U173" s="277"/>
      <c r="V173" s="1"/>
    </row>
    <row r="174" spans="1:22">
      <c r="A174" s="276"/>
      <c r="B174" s="277"/>
      <c r="C174" s="277"/>
      <c r="D174" s="277"/>
      <c r="E174" s="277"/>
      <c r="F174" s="277"/>
      <c r="G174" s="277"/>
      <c r="H174" s="277"/>
      <c r="I174" s="277"/>
      <c r="J174" s="277"/>
      <c r="K174" s="277"/>
      <c r="L174" s="277"/>
      <c r="M174" s="277"/>
      <c r="N174" s="277"/>
      <c r="O174" s="277"/>
      <c r="P174" s="277"/>
      <c r="Q174" s="277"/>
      <c r="R174" s="277"/>
      <c r="S174" s="277"/>
      <c r="T174" s="277"/>
      <c r="U174" s="277"/>
      <c r="V174" s="1"/>
    </row>
    <row r="175" spans="1:22">
      <c r="A175" s="276"/>
      <c r="B175" s="277"/>
      <c r="C175" s="277"/>
      <c r="D175" s="277"/>
      <c r="E175" s="277"/>
      <c r="F175" s="277"/>
      <c r="G175" s="277"/>
      <c r="H175" s="277"/>
      <c r="I175" s="277"/>
      <c r="J175" s="277"/>
      <c r="K175" s="277"/>
      <c r="L175" s="277"/>
      <c r="M175" s="277"/>
      <c r="N175" s="277"/>
      <c r="O175" s="277"/>
      <c r="P175" s="277"/>
      <c r="Q175" s="277"/>
      <c r="R175" s="277"/>
      <c r="S175" s="277"/>
      <c r="T175" s="277"/>
      <c r="U175" s="277"/>
      <c r="V175" s="1"/>
    </row>
    <row r="176" spans="1:22">
      <c r="A176" s="276"/>
      <c r="B176" s="277"/>
      <c r="C176" s="277"/>
      <c r="D176" s="277"/>
      <c r="E176" s="277"/>
      <c r="F176" s="277"/>
      <c r="G176" s="277"/>
      <c r="H176" s="277"/>
      <c r="I176" s="277"/>
      <c r="J176" s="277"/>
      <c r="K176" s="277"/>
      <c r="L176" s="277"/>
      <c r="M176" s="277"/>
      <c r="N176" s="277"/>
      <c r="O176" s="277"/>
      <c r="P176" s="277"/>
      <c r="Q176" s="277"/>
      <c r="R176" s="277"/>
      <c r="S176" s="277"/>
      <c r="T176" s="277"/>
      <c r="U176" s="277"/>
      <c r="V176" s="1"/>
    </row>
    <row r="177" spans="1:22">
      <c r="A177" s="276"/>
      <c r="B177" s="277"/>
      <c r="C177" s="277"/>
      <c r="D177" s="277"/>
      <c r="E177" s="277"/>
      <c r="F177" s="277"/>
      <c r="G177" s="277"/>
      <c r="H177" s="277"/>
      <c r="I177" s="277"/>
      <c r="J177" s="277"/>
      <c r="K177" s="277"/>
      <c r="L177" s="277"/>
      <c r="M177" s="277"/>
      <c r="N177" s="277"/>
      <c r="O177" s="277"/>
      <c r="P177" s="277"/>
      <c r="Q177" s="277"/>
      <c r="R177" s="277"/>
      <c r="S177" s="277"/>
      <c r="T177" s="277"/>
      <c r="U177" s="277"/>
      <c r="V177" s="1"/>
    </row>
    <row r="178" spans="1:22">
      <c r="A178" s="276"/>
      <c r="B178" s="277"/>
      <c r="C178" s="277"/>
      <c r="D178" s="277"/>
      <c r="E178" s="277"/>
      <c r="F178" s="277"/>
      <c r="G178" s="277"/>
      <c r="H178" s="277"/>
      <c r="I178" s="277"/>
      <c r="J178" s="277"/>
      <c r="K178" s="277"/>
      <c r="L178" s="277"/>
      <c r="M178" s="277"/>
      <c r="N178" s="277"/>
      <c r="O178" s="277"/>
      <c r="P178" s="277"/>
      <c r="Q178" s="277"/>
      <c r="R178" s="277"/>
      <c r="S178" s="277"/>
      <c r="T178" s="277"/>
      <c r="U178" s="277"/>
      <c r="V178" s="1"/>
    </row>
    <row r="179" spans="1:22">
      <c r="A179" s="276"/>
      <c r="B179" s="277"/>
      <c r="C179" s="277"/>
      <c r="D179" s="277"/>
      <c r="E179" s="277"/>
      <c r="F179" s="277"/>
      <c r="G179" s="277"/>
      <c r="H179" s="277"/>
      <c r="I179" s="277"/>
      <c r="J179" s="277"/>
      <c r="K179" s="277"/>
      <c r="L179" s="277"/>
      <c r="M179" s="277"/>
      <c r="N179" s="277"/>
      <c r="O179" s="277"/>
      <c r="P179" s="277"/>
      <c r="Q179" s="277"/>
      <c r="R179" s="277"/>
      <c r="S179" s="277"/>
      <c r="T179" s="277"/>
      <c r="U179" s="277"/>
      <c r="V179" s="1"/>
    </row>
    <row r="180" spans="1:22">
      <c r="A180" s="276"/>
      <c r="B180" s="277"/>
      <c r="C180" s="277"/>
      <c r="D180" s="277"/>
      <c r="E180" s="277"/>
      <c r="F180" s="277"/>
      <c r="G180" s="277"/>
      <c r="H180" s="277"/>
      <c r="I180" s="277"/>
      <c r="J180" s="277"/>
      <c r="K180" s="277"/>
      <c r="L180" s="277"/>
      <c r="M180" s="277"/>
      <c r="N180" s="277"/>
      <c r="O180" s="277"/>
      <c r="P180" s="277"/>
      <c r="Q180" s="277"/>
      <c r="R180" s="277"/>
      <c r="S180" s="277"/>
      <c r="T180" s="277"/>
      <c r="U180" s="277"/>
      <c r="V180" s="1"/>
    </row>
    <row r="181" spans="1:22">
      <c r="A181" s="276"/>
      <c r="B181" s="277"/>
      <c r="C181" s="277"/>
      <c r="D181" s="277"/>
      <c r="E181" s="277"/>
      <c r="F181" s="277"/>
      <c r="G181" s="277"/>
      <c r="H181" s="277"/>
      <c r="I181" s="277"/>
      <c r="J181" s="277"/>
      <c r="K181" s="277"/>
      <c r="L181" s="277"/>
      <c r="M181" s="277"/>
      <c r="N181" s="277"/>
      <c r="O181" s="277"/>
      <c r="P181" s="277"/>
      <c r="Q181" s="277"/>
      <c r="R181" s="277"/>
      <c r="S181" s="277"/>
      <c r="T181" s="277"/>
      <c r="U181" s="277"/>
      <c r="V181" s="1"/>
    </row>
    <row r="182" spans="1:22">
      <c r="A182" s="276"/>
      <c r="B182" s="277"/>
      <c r="C182" s="277"/>
      <c r="D182" s="277"/>
      <c r="E182" s="277"/>
      <c r="F182" s="277"/>
      <c r="G182" s="277"/>
      <c r="H182" s="277"/>
      <c r="I182" s="277"/>
      <c r="J182" s="277"/>
      <c r="K182" s="277"/>
      <c r="L182" s="277"/>
      <c r="M182" s="277"/>
      <c r="N182" s="277"/>
      <c r="O182" s="277"/>
      <c r="P182" s="277"/>
      <c r="Q182" s="277"/>
      <c r="R182" s="277"/>
      <c r="S182" s="277"/>
      <c r="T182" s="277"/>
      <c r="U182" s="277"/>
      <c r="V182" s="1"/>
    </row>
    <row r="183" spans="1:22">
      <c r="A183" s="276"/>
      <c r="B183" s="277"/>
      <c r="C183" s="277"/>
      <c r="D183" s="277"/>
      <c r="E183" s="277"/>
      <c r="F183" s="277"/>
      <c r="G183" s="277"/>
      <c r="H183" s="277"/>
      <c r="I183" s="277"/>
      <c r="J183" s="277"/>
      <c r="K183" s="277"/>
      <c r="L183" s="277"/>
      <c r="M183" s="277"/>
      <c r="N183" s="277"/>
      <c r="O183" s="277"/>
      <c r="P183" s="277"/>
      <c r="Q183" s="277"/>
      <c r="R183" s="277"/>
      <c r="S183" s="277"/>
      <c r="T183" s="277"/>
      <c r="U183" s="277"/>
      <c r="V183" s="1"/>
    </row>
    <row r="184" spans="1:22">
      <c r="A184" s="276"/>
      <c r="B184" s="277"/>
      <c r="C184" s="277"/>
      <c r="D184" s="277"/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  <c r="V184" s="1"/>
    </row>
    <row r="185" spans="1:22">
      <c r="A185" s="276"/>
      <c r="B185" s="277"/>
      <c r="C185" s="277"/>
      <c r="D185" s="277"/>
      <c r="E185" s="277"/>
      <c r="F185" s="277"/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  <c r="Q185" s="277"/>
      <c r="R185" s="277"/>
      <c r="S185" s="277"/>
      <c r="T185" s="277"/>
      <c r="U185" s="277"/>
      <c r="V185" s="1"/>
    </row>
    <row r="186" spans="1:22">
      <c r="A186" s="276"/>
      <c r="B186" s="277"/>
      <c r="C186" s="277"/>
      <c r="D186" s="277"/>
      <c r="E186" s="277"/>
      <c r="F186" s="277"/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  <c r="V186" s="1"/>
    </row>
    <row r="187" spans="1:22">
      <c r="A187" s="276"/>
      <c r="B187" s="277"/>
      <c r="C187" s="277"/>
      <c r="D187" s="277"/>
      <c r="E187" s="277"/>
      <c r="F187" s="277"/>
      <c r="G187" s="277"/>
      <c r="H187" s="277"/>
      <c r="I187" s="277"/>
      <c r="J187" s="277"/>
      <c r="K187" s="277"/>
      <c r="L187" s="277"/>
      <c r="M187" s="277"/>
      <c r="N187" s="277"/>
      <c r="O187" s="277"/>
      <c r="P187" s="277"/>
      <c r="Q187" s="277"/>
      <c r="R187" s="277"/>
      <c r="S187" s="277"/>
      <c r="T187" s="277"/>
      <c r="U187" s="277"/>
      <c r="V187" s="1"/>
    </row>
    <row r="188" spans="1:22">
      <c r="A188" s="276"/>
      <c r="B188" s="277"/>
      <c r="C188" s="277"/>
      <c r="D188" s="277"/>
      <c r="E188" s="277"/>
      <c r="F188" s="277"/>
      <c r="G188" s="277"/>
      <c r="H188" s="277"/>
      <c r="I188" s="277"/>
      <c r="J188" s="277"/>
      <c r="K188" s="277"/>
      <c r="L188" s="277"/>
      <c r="M188" s="277"/>
      <c r="N188" s="277"/>
      <c r="O188" s="277"/>
      <c r="P188" s="277"/>
      <c r="Q188" s="277"/>
      <c r="R188" s="277"/>
      <c r="S188" s="277"/>
      <c r="T188" s="277"/>
      <c r="U188" s="277"/>
      <c r="V188" s="1"/>
    </row>
    <row r="189" spans="1:22">
      <c r="A189" s="276"/>
      <c r="B189" s="277"/>
      <c r="C189" s="277"/>
      <c r="D189" s="277"/>
      <c r="E189" s="277"/>
      <c r="F189" s="277"/>
      <c r="G189" s="277"/>
      <c r="H189" s="277"/>
      <c r="I189" s="277"/>
      <c r="J189" s="277"/>
      <c r="K189" s="277"/>
      <c r="L189" s="277"/>
      <c r="M189" s="277"/>
      <c r="N189" s="277"/>
      <c r="O189" s="277"/>
      <c r="P189" s="277"/>
      <c r="Q189" s="277"/>
      <c r="R189" s="277"/>
      <c r="S189" s="277"/>
      <c r="T189" s="277"/>
      <c r="U189" s="277"/>
      <c r="V189" s="1"/>
    </row>
    <row r="190" spans="1:22">
      <c r="A190" s="276"/>
      <c r="B190" s="277"/>
      <c r="C190" s="277"/>
      <c r="D190" s="277"/>
      <c r="E190" s="277"/>
      <c r="F190" s="277"/>
      <c r="G190" s="277"/>
      <c r="H190" s="277"/>
      <c r="I190" s="277"/>
      <c r="J190" s="277"/>
      <c r="K190" s="277"/>
      <c r="L190" s="277"/>
      <c r="M190" s="277"/>
      <c r="N190" s="277"/>
      <c r="O190" s="277"/>
      <c r="P190" s="277"/>
      <c r="Q190" s="277"/>
      <c r="R190" s="277"/>
      <c r="S190" s="277"/>
      <c r="T190" s="277"/>
      <c r="U190" s="277"/>
      <c r="V190" s="1"/>
    </row>
    <row r="191" spans="1:22">
      <c r="A191" s="276"/>
      <c r="B191" s="277"/>
      <c r="C191" s="277"/>
      <c r="D191" s="277"/>
      <c r="E191" s="277"/>
      <c r="F191" s="277"/>
      <c r="G191" s="277"/>
      <c r="H191" s="277"/>
      <c r="I191" s="277"/>
      <c r="J191" s="277"/>
      <c r="K191" s="277"/>
      <c r="L191" s="277"/>
      <c r="M191" s="277"/>
      <c r="N191" s="277"/>
      <c r="O191" s="277"/>
      <c r="P191" s="277"/>
      <c r="Q191" s="277"/>
      <c r="R191" s="277"/>
      <c r="S191" s="277"/>
      <c r="T191" s="277"/>
      <c r="U191" s="277"/>
      <c r="V191" s="1"/>
    </row>
    <row r="192" spans="1:22">
      <c r="A192" s="276"/>
      <c r="B192" s="277"/>
      <c r="C192" s="277"/>
      <c r="D192" s="277"/>
      <c r="E192" s="277"/>
      <c r="F192" s="277"/>
      <c r="G192" s="277"/>
      <c r="H192" s="277"/>
      <c r="I192" s="277"/>
      <c r="J192" s="277"/>
      <c r="K192" s="277"/>
      <c r="L192" s="277"/>
      <c r="M192" s="277"/>
      <c r="N192" s="277"/>
      <c r="O192" s="277"/>
      <c r="P192" s="277"/>
      <c r="Q192" s="277"/>
      <c r="R192" s="277"/>
      <c r="S192" s="277"/>
      <c r="T192" s="277"/>
      <c r="U192" s="277"/>
      <c r="V192" s="1"/>
    </row>
    <row r="193" spans="1:22">
      <c r="A193" s="276"/>
      <c r="B193" s="277"/>
      <c r="C193" s="277"/>
      <c r="D193" s="277"/>
      <c r="E193" s="277"/>
      <c r="F193" s="277"/>
      <c r="G193" s="277"/>
      <c r="H193" s="277"/>
      <c r="I193" s="277"/>
      <c r="J193" s="277"/>
      <c r="K193" s="277"/>
      <c r="L193" s="277"/>
      <c r="M193" s="277"/>
      <c r="N193" s="277"/>
      <c r="O193" s="277"/>
      <c r="P193" s="277"/>
      <c r="Q193" s="277"/>
      <c r="R193" s="277"/>
      <c r="S193" s="277"/>
      <c r="T193" s="277"/>
      <c r="U193" s="277"/>
      <c r="V193" s="1"/>
    </row>
    <row r="194" spans="1:22">
      <c r="A194" s="276"/>
      <c r="B194" s="277"/>
      <c r="C194" s="277"/>
      <c r="D194" s="277"/>
      <c r="E194" s="277"/>
      <c r="F194" s="277"/>
      <c r="G194" s="277"/>
      <c r="H194" s="277"/>
      <c r="I194" s="277"/>
      <c r="J194" s="277"/>
      <c r="K194" s="277"/>
      <c r="L194" s="277"/>
      <c r="M194" s="277"/>
      <c r="N194" s="277"/>
      <c r="O194" s="277"/>
      <c r="P194" s="277"/>
      <c r="Q194" s="277"/>
      <c r="R194" s="277"/>
      <c r="S194" s="277"/>
      <c r="T194" s="277"/>
      <c r="U194" s="277"/>
      <c r="V194" s="1"/>
    </row>
    <row r="195" spans="1:22">
      <c r="A195" s="276"/>
      <c r="B195" s="277"/>
      <c r="C195" s="277"/>
      <c r="D195" s="277"/>
      <c r="E195" s="277"/>
      <c r="F195" s="277"/>
      <c r="G195" s="277"/>
      <c r="H195" s="277"/>
      <c r="I195" s="277"/>
      <c r="J195" s="277"/>
      <c r="K195" s="277"/>
      <c r="L195" s="277"/>
      <c r="M195" s="277"/>
      <c r="N195" s="277"/>
      <c r="O195" s="277"/>
      <c r="P195" s="277"/>
      <c r="Q195" s="277"/>
      <c r="R195" s="277"/>
      <c r="S195" s="277"/>
      <c r="T195" s="277"/>
      <c r="U195" s="277"/>
      <c r="V195" s="1"/>
    </row>
    <row r="196" spans="1:22">
      <c r="A196" s="276"/>
      <c r="B196" s="277"/>
      <c r="C196" s="277"/>
      <c r="D196" s="277"/>
      <c r="E196" s="277"/>
      <c r="F196" s="277"/>
      <c r="G196" s="277"/>
      <c r="H196" s="277"/>
      <c r="I196" s="277"/>
      <c r="J196" s="277"/>
      <c r="K196" s="277"/>
      <c r="L196" s="277"/>
      <c r="M196" s="277"/>
      <c r="N196" s="277"/>
      <c r="O196" s="277"/>
      <c r="P196" s="277"/>
      <c r="Q196" s="277"/>
      <c r="R196" s="277"/>
      <c r="S196" s="277"/>
      <c r="T196" s="277"/>
      <c r="U196" s="277"/>
      <c r="V196" s="1"/>
    </row>
    <row r="197" spans="1:22">
      <c r="A197" s="276"/>
      <c r="B197" s="277"/>
      <c r="C197" s="277"/>
      <c r="D197" s="277"/>
      <c r="E197" s="277"/>
      <c r="F197" s="277"/>
      <c r="G197" s="277"/>
      <c r="H197" s="277"/>
      <c r="I197" s="277"/>
      <c r="J197" s="277"/>
      <c r="K197" s="277"/>
      <c r="L197" s="277"/>
      <c r="M197" s="277"/>
      <c r="N197" s="277"/>
      <c r="O197" s="277"/>
      <c r="P197" s="277"/>
      <c r="Q197" s="277"/>
      <c r="R197" s="277"/>
      <c r="S197" s="277"/>
      <c r="T197" s="277"/>
      <c r="U197" s="277"/>
      <c r="V197" s="1"/>
    </row>
    <row r="198" spans="1:22">
      <c r="A198" s="276"/>
      <c r="B198" s="277"/>
      <c r="C198" s="277"/>
      <c r="D198" s="277"/>
      <c r="E198" s="277"/>
      <c r="F198" s="277"/>
      <c r="G198" s="277"/>
      <c r="H198" s="277"/>
      <c r="I198" s="277"/>
      <c r="J198" s="277"/>
      <c r="K198" s="277"/>
      <c r="L198" s="277"/>
      <c r="M198" s="277"/>
      <c r="N198" s="277"/>
      <c r="O198" s="277"/>
      <c r="P198" s="277"/>
      <c r="Q198" s="277"/>
      <c r="R198" s="277"/>
      <c r="S198" s="277"/>
      <c r="T198" s="277"/>
      <c r="U198" s="277"/>
      <c r="V198" s="1"/>
    </row>
    <row r="199" spans="1:22">
      <c r="A199" s="276"/>
      <c r="B199" s="277"/>
      <c r="C199" s="277"/>
      <c r="D199" s="277"/>
      <c r="E199" s="277"/>
      <c r="F199" s="277"/>
      <c r="G199" s="277"/>
      <c r="H199" s="277"/>
      <c r="I199" s="277"/>
      <c r="J199" s="277"/>
      <c r="K199" s="277"/>
      <c r="L199" s="277"/>
      <c r="M199" s="277"/>
      <c r="N199" s="277"/>
      <c r="O199" s="277"/>
      <c r="P199" s="277"/>
      <c r="Q199" s="277"/>
      <c r="R199" s="277"/>
      <c r="S199" s="277"/>
      <c r="T199" s="277"/>
      <c r="U199" s="277"/>
      <c r="V199" s="1"/>
    </row>
    <row r="200" spans="1:22">
      <c r="A200" s="276"/>
      <c r="B200" s="277"/>
      <c r="C200" s="277"/>
      <c r="D200" s="277"/>
      <c r="E200" s="277"/>
      <c r="F200" s="277"/>
      <c r="G200" s="277"/>
      <c r="H200" s="277"/>
      <c r="I200" s="277"/>
      <c r="J200" s="277"/>
      <c r="K200" s="277"/>
      <c r="L200" s="277"/>
      <c r="M200" s="277"/>
      <c r="N200" s="277"/>
      <c r="O200" s="277"/>
      <c r="P200" s="277"/>
      <c r="Q200" s="277"/>
      <c r="R200" s="277"/>
      <c r="S200" s="277"/>
      <c r="T200" s="277"/>
      <c r="U200" s="277"/>
      <c r="V200" s="1"/>
    </row>
    <row r="259" spans="1:22">
      <c r="A259" s="276"/>
      <c r="B259" s="277"/>
      <c r="C259" s="277"/>
      <c r="D259" s="277"/>
      <c r="E259" s="277"/>
      <c r="F259" s="277"/>
      <c r="G259" s="277"/>
      <c r="H259" s="277"/>
      <c r="I259" s="277"/>
      <c r="J259" s="277"/>
      <c r="K259" s="277"/>
      <c r="L259" s="277"/>
      <c r="M259" s="277"/>
      <c r="N259" s="277"/>
      <c r="O259" s="277"/>
      <c r="P259" s="277"/>
      <c r="Q259" s="277"/>
      <c r="R259" s="277"/>
      <c r="S259" s="277"/>
      <c r="T259" s="277"/>
      <c r="U259" s="277"/>
      <c r="V259" s="1"/>
    </row>
    <row r="260" spans="1:22">
      <c r="A260" s="276"/>
      <c r="B260" s="277"/>
      <c r="C260" s="277"/>
      <c r="D260" s="277"/>
      <c r="E260" s="277"/>
      <c r="F260" s="277"/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  <c r="Q260" s="277"/>
      <c r="R260" s="277"/>
      <c r="S260" s="277"/>
      <c r="T260" s="277"/>
      <c r="U260" s="277"/>
      <c r="V260" s="1"/>
    </row>
    <row r="261" spans="1:22">
      <c r="A261" s="276"/>
      <c r="B261" s="277"/>
      <c r="C261" s="277"/>
      <c r="D261" s="277"/>
      <c r="E261" s="277"/>
      <c r="F261" s="277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  <c r="Q261" s="277"/>
      <c r="R261" s="277"/>
      <c r="S261" s="277"/>
      <c r="T261" s="277"/>
      <c r="U261" s="277"/>
      <c r="V261" s="1"/>
    </row>
    <row r="262" spans="1:22">
      <c r="A262" s="276"/>
      <c r="B262" s="277"/>
      <c r="C262" s="277"/>
      <c r="D262" s="277"/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277"/>
      <c r="V262" s="1"/>
    </row>
    <row r="263" spans="1:22">
      <c r="A263" s="276"/>
      <c r="B263" s="277"/>
      <c r="C263" s="277"/>
      <c r="D263" s="277"/>
      <c r="E263" s="277"/>
      <c r="F263" s="277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  <c r="Q263" s="277"/>
      <c r="R263" s="277"/>
      <c r="S263" s="277"/>
      <c r="T263" s="277"/>
      <c r="U263" s="277"/>
      <c r="V263" s="1"/>
    </row>
    <row r="264" spans="1:22">
      <c r="A264" s="276"/>
      <c r="B264" s="277"/>
      <c r="C264" s="277"/>
      <c r="D264" s="277"/>
      <c r="E264" s="277"/>
      <c r="F264" s="277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  <c r="T264" s="277"/>
      <c r="U264" s="277"/>
      <c r="V264" s="1"/>
    </row>
    <row r="265" spans="1:22">
      <c r="A265" s="276"/>
      <c r="B265" s="277"/>
      <c r="C265" s="277"/>
      <c r="D265" s="277"/>
      <c r="E265" s="277"/>
      <c r="F265" s="277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  <c r="Q265" s="277"/>
      <c r="R265" s="277"/>
      <c r="S265" s="277"/>
      <c r="T265" s="277"/>
      <c r="U265" s="277"/>
      <c r="V265" s="1"/>
    </row>
    <row r="266" spans="1:22">
      <c r="A266" s="276"/>
      <c r="B266" s="277"/>
      <c r="C266" s="277"/>
      <c r="D266" s="277"/>
      <c r="E266" s="277"/>
      <c r="F266" s="277"/>
      <c r="G266" s="277"/>
      <c r="H266" s="277"/>
      <c r="I266" s="277"/>
      <c r="J266" s="277"/>
      <c r="K266" s="277"/>
      <c r="L266" s="277"/>
      <c r="M266" s="277"/>
      <c r="N266" s="277"/>
      <c r="O266" s="277"/>
      <c r="P266" s="277"/>
      <c r="Q266" s="277"/>
      <c r="R266" s="277"/>
      <c r="S266" s="277"/>
      <c r="T266" s="277"/>
      <c r="U266" s="277"/>
      <c r="V266" s="1"/>
    </row>
    <row r="267" spans="1:22">
      <c r="A267" s="276"/>
      <c r="B267" s="277"/>
      <c r="C267" s="277"/>
      <c r="D267" s="277"/>
      <c r="E267" s="277"/>
      <c r="F267" s="277"/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  <c r="Q267" s="277"/>
      <c r="R267" s="277"/>
      <c r="S267" s="277"/>
      <c r="T267" s="277"/>
      <c r="U267" s="277"/>
      <c r="V267" s="1"/>
    </row>
    <row r="268" spans="1:22">
      <c r="A268" s="276"/>
      <c r="B268" s="277"/>
      <c r="C268" s="277"/>
      <c r="D268" s="277"/>
      <c r="E268" s="277"/>
      <c r="F268" s="277"/>
      <c r="G268" s="277"/>
      <c r="H268" s="277"/>
      <c r="I268" s="277"/>
      <c r="J268" s="277"/>
      <c r="K268" s="277"/>
      <c r="L268" s="277"/>
      <c r="M268" s="277"/>
      <c r="N268" s="277"/>
      <c r="O268" s="277"/>
      <c r="P268" s="277"/>
      <c r="Q268" s="277"/>
      <c r="R268" s="277"/>
      <c r="S268" s="277"/>
      <c r="T268" s="277"/>
      <c r="U268" s="277"/>
      <c r="V268" s="1"/>
    </row>
    <row r="269" spans="1:22">
      <c r="A269" s="276"/>
      <c r="B269" s="277"/>
      <c r="C269" s="277"/>
      <c r="D269" s="277"/>
      <c r="E269" s="277"/>
      <c r="F269" s="277"/>
      <c r="G269" s="277"/>
      <c r="H269" s="277"/>
      <c r="I269" s="277"/>
      <c r="J269" s="277"/>
      <c r="K269" s="277"/>
      <c r="L269" s="277"/>
      <c r="M269" s="277"/>
      <c r="N269" s="277"/>
      <c r="O269" s="277"/>
      <c r="P269" s="277"/>
      <c r="Q269" s="277"/>
      <c r="R269" s="277"/>
      <c r="S269" s="277"/>
      <c r="T269" s="277"/>
      <c r="U269" s="277"/>
      <c r="V269" s="1"/>
    </row>
    <row r="270" spans="1:22">
      <c r="A270" s="276"/>
      <c r="B270" s="277"/>
      <c r="C270" s="277"/>
      <c r="D270" s="277"/>
      <c r="E270" s="277"/>
      <c r="F270" s="277"/>
      <c r="G270" s="277"/>
      <c r="H270" s="277"/>
      <c r="I270" s="277"/>
      <c r="J270" s="277"/>
      <c r="K270" s="277"/>
      <c r="L270" s="277"/>
      <c r="M270" s="277"/>
      <c r="N270" s="277"/>
      <c r="O270" s="277"/>
      <c r="P270" s="277"/>
      <c r="Q270" s="277"/>
      <c r="R270" s="277"/>
      <c r="S270" s="277"/>
      <c r="T270" s="277"/>
      <c r="U270" s="277"/>
      <c r="V270" s="1"/>
    </row>
    <row r="271" spans="1:22">
      <c r="A271" s="276"/>
      <c r="B271" s="277"/>
      <c r="C271" s="277"/>
      <c r="D271" s="277"/>
      <c r="E271" s="277"/>
      <c r="F271" s="277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  <c r="T271" s="277"/>
      <c r="U271" s="277"/>
      <c r="V271" s="1"/>
    </row>
    <row r="272" spans="1:22">
      <c r="A272" s="276"/>
      <c r="B272" s="277"/>
      <c r="C272" s="277"/>
      <c r="D272" s="277"/>
      <c r="E272" s="277"/>
      <c r="F272" s="277"/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  <c r="Q272" s="277"/>
      <c r="R272" s="277"/>
      <c r="S272" s="277"/>
      <c r="T272" s="277"/>
      <c r="U272" s="277"/>
      <c r="V272" s="1"/>
    </row>
    <row r="273" spans="1:22">
      <c r="A273" s="276"/>
      <c r="B273" s="277"/>
      <c r="C273" s="277"/>
      <c r="D273" s="277"/>
      <c r="E273" s="277"/>
      <c r="F273" s="277"/>
      <c r="G273" s="277"/>
      <c r="H273" s="277"/>
      <c r="I273" s="277"/>
      <c r="J273" s="277"/>
      <c r="K273" s="277"/>
      <c r="L273" s="277"/>
      <c r="M273" s="277"/>
      <c r="N273" s="277"/>
      <c r="O273" s="277"/>
      <c r="P273" s="277"/>
      <c r="Q273" s="277"/>
      <c r="R273" s="277"/>
      <c r="S273" s="277"/>
      <c r="T273" s="277"/>
      <c r="U273" s="277"/>
      <c r="V273" s="1"/>
    </row>
    <row r="274" spans="1:22">
      <c r="A274" s="276"/>
      <c r="B274" s="277"/>
      <c r="C274" s="277"/>
      <c r="D274" s="277"/>
      <c r="E274" s="277"/>
      <c r="F274" s="277"/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  <c r="Q274" s="277"/>
      <c r="R274" s="277"/>
      <c r="S274" s="277"/>
      <c r="T274" s="277"/>
      <c r="U274" s="277"/>
      <c r="V274" s="1"/>
    </row>
    <row r="275" spans="1:22">
      <c r="A275" s="276"/>
      <c r="B275" s="277"/>
      <c r="C275" s="277"/>
      <c r="D275" s="277"/>
      <c r="E275" s="277"/>
      <c r="F275" s="277"/>
      <c r="G275" s="277"/>
      <c r="H275" s="277"/>
      <c r="I275" s="277"/>
      <c r="J275" s="277"/>
      <c r="K275" s="277"/>
      <c r="L275" s="277"/>
      <c r="M275" s="277"/>
      <c r="N275" s="277"/>
      <c r="O275" s="277"/>
      <c r="P275" s="277"/>
      <c r="Q275" s="277"/>
      <c r="R275" s="277"/>
      <c r="S275" s="277"/>
      <c r="T275" s="277"/>
      <c r="U275" s="277"/>
      <c r="V275" s="1"/>
    </row>
    <row r="276" spans="1:22">
      <c r="A276" s="276"/>
      <c r="B276" s="277"/>
      <c r="C276" s="277"/>
      <c r="D276" s="277"/>
      <c r="E276" s="277"/>
      <c r="F276" s="277"/>
      <c r="G276" s="277"/>
      <c r="H276" s="277"/>
      <c r="I276" s="277"/>
      <c r="J276" s="277"/>
      <c r="K276" s="277"/>
      <c r="L276" s="277"/>
      <c r="M276" s="277"/>
      <c r="N276" s="277"/>
      <c r="O276" s="277"/>
      <c r="P276" s="277"/>
      <c r="Q276" s="277"/>
      <c r="R276" s="277"/>
      <c r="S276" s="277"/>
      <c r="T276" s="277"/>
      <c r="U276" s="277"/>
      <c r="V276" s="1"/>
    </row>
    <row r="277" spans="1:22">
      <c r="A277" s="276"/>
      <c r="B277" s="277"/>
      <c r="C277" s="277"/>
      <c r="D277" s="277"/>
      <c r="E277" s="277"/>
      <c r="F277" s="277"/>
      <c r="G277" s="277"/>
      <c r="H277" s="277"/>
      <c r="I277" s="277"/>
      <c r="J277" s="277"/>
      <c r="K277" s="277"/>
      <c r="L277" s="277"/>
      <c r="M277" s="277"/>
      <c r="N277" s="277"/>
      <c r="O277" s="277"/>
      <c r="P277" s="277"/>
      <c r="Q277" s="277"/>
      <c r="R277" s="277"/>
      <c r="S277" s="277"/>
      <c r="T277" s="277"/>
      <c r="U277" s="277"/>
      <c r="V277" s="1"/>
    </row>
    <row r="278" spans="1:22">
      <c r="A278" s="276"/>
      <c r="B278" s="277"/>
      <c r="C278" s="277"/>
      <c r="D278" s="277"/>
      <c r="E278" s="277"/>
      <c r="F278" s="277"/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  <c r="Q278" s="277"/>
      <c r="R278" s="277"/>
      <c r="S278" s="277"/>
      <c r="T278" s="277"/>
      <c r="U278" s="277"/>
      <c r="V278" s="1"/>
    </row>
    <row r="279" spans="1:22">
      <c r="A279" s="276"/>
      <c r="B279" s="277"/>
      <c r="C279" s="277"/>
      <c r="D279" s="277"/>
      <c r="E279" s="277"/>
      <c r="F279" s="277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  <c r="Q279" s="277"/>
      <c r="R279" s="277"/>
      <c r="S279" s="277"/>
      <c r="T279" s="277"/>
      <c r="U279" s="277"/>
      <c r="V279" s="1"/>
    </row>
    <row r="280" spans="1:22">
      <c r="A280" s="276"/>
      <c r="B280" s="277"/>
      <c r="C280" s="277"/>
      <c r="D280" s="277"/>
      <c r="E280" s="277"/>
      <c r="F280" s="277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  <c r="T280" s="277"/>
      <c r="U280" s="277"/>
      <c r="V280" s="1"/>
    </row>
    <row r="281" spans="1:22">
      <c r="A281" s="276"/>
      <c r="B281" s="277"/>
      <c r="C281" s="277"/>
      <c r="D281" s="277"/>
      <c r="E281" s="277"/>
      <c r="F281" s="277"/>
      <c r="G281" s="277"/>
      <c r="H281" s="277"/>
      <c r="I281" s="277"/>
      <c r="J281" s="277"/>
      <c r="K281" s="277"/>
      <c r="L281" s="277"/>
      <c r="M281" s="277"/>
      <c r="N281" s="277"/>
      <c r="O281" s="277"/>
      <c r="P281" s="277"/>
      <c r="Q281" s="277"/>
      <c r="R281" s="277"/>
      <c r="S281" s="277"/>
      <c r="T281" s="277"/>
      <c r="U281" s="277"/>
      <c r="V281" s="1"/>
    </row>
    <row r="282" spans="1:22">
      <c r="A282" s="276"/>
      <c r="B282" s="277"/>
      <c r="C282" s="277"/>
      <c r="D282" s="277"/>
      <c r="E282" s="277"/>
      <c r="F282" s="277"/>
      <c r="G282" s="277"/>
      <c r="H282" s="277"/>
      <c r="I282" s="277"/>
      <c r="J282" s="277"/>
      <c r="K282" s="277"/>
      <c r="L282" s="277"/>
      <c r="M282" s="277"/>
      <c r="N282" s="277"/>
      <c r="O282" s="277"/>
      <c r="P282" s="277"/>
      <c r="Q282" s="277"/>
      <c r="R282" s="277"/>
      <c r="S282" s="277"/>
      <c r="T282" s="277"/>
      <c r="U282" s="277"/>
      <c r="V282" s="1"/>
    </row>
    <row r="283" spans="1:22">
      <c r="A283" s="276"/>
      <c r="B283" s="277"/>
      <c r="C283" s="277"/>
      <c r="D283" s="277"/>
      <c r="E283" s="277"/>
      <c r="F283" s="277"/>
      <c r="G283" s="277"/>
      <c r="H283" s="277"/>
      <c r="I283" s="277"/>
      <c r="J283" s="277"/>
      <c r="K283" s="277"/>
      <c r="L283" s="277"/>
      <c r="M283" s="277"/>
      <c r="N283" s="277"/>
      <c r="O283" s="277"/>
      <c r="P283" s="277"/>
      <c r="Q283" s="277"/>
      <c r="R283" s="277"/>
      <c r="S283" s="277"/>
      <c r="T283" s="277"/>
      <c r="U283" s="277"/>
      <c r="V283" s="1"/>
    </row>
    <row r="284" spans="1:22">
      <c r="A284" s="276"/>
      <c r="B284" s="277"/>
      <c r="C284" s="277"/>
      <c r="D284" s="277"/>
      <c r="E284" s="277"/>
      <c r="F284" s="277"/>
      <c r="G284" s="277"/>
      <c r="H284" s="277"/>
      <c r="I284" s="277"/>
      <c r="J284" s="277"/>
      <c r="K284" s="277"/>
      <c r="L284" s="277"/>
      <c r="M284" s="277"/>
      <c r="N284" s="277"/>
      <c r="O284" s="277"/>
      <c r="P284" s="277"/>
      <c r="Q284" s="277"/>
      <c r="R284" s="277"/>
      <c r="S284" s="277"/>
      <c r="T284" s="277"/>
      <c r="U284" s="277"/>
      <c r="V284" s="1"/>
    </row>
    <row r="285" spans="1:22">
      <c r="A285" s="276"/>
      <c r="B285" s="277"/>
      <c r="C285" s="277"/>
      <c r="D285" s="277"/>
      <c r="E285" s="277"/>
      <c r="F285" s="277"/>
      <c r="G285" s="277"/>
      <c r="H285" s="277"/>
      <c r="I285" s="277"/>
      <c r="J285" s="277"/>
      <c r="K285" s="277"/>
      <c r="L285" s="277"/>
      <c r="M285" s="277"/>
      <c r="N285" s="277"/>
      <c r="O285" s="277"/>
      <c r="P285" s="277"/>
      <c r="Q285" s="277"/>
      <c r="R285" s="277"/>
      <c r="S285" s="277"/>
      <c r="T285" s="277"/>
      <c r="U285" s="277"/>
      <c r="V285" s="1"/>
    </row>
    <row r="286" spans="1:22">
      <c r="A286" s="276"/>
      <c r="B286" s="277"/>
      <c r="C286" s="277"/>
      <c r="D286" s="277"/>
      <c r="E286" s="277"/>
      <c r="F286" s="277"/>
      <c r="G286" s="277"/>
      <c r="H286" s="277"/>
      <c r="I286" s="277"/>
      <c r="J286" s="277"/>
      <c r="K286" s="277"/>
      <c r="L286" s="277"/>
      <c r="M286" s="277"/>
      <c r="N286" s="277"/>
      <c r="O286" s="277"/>
      <c r="P286" s="277"/>
      <c r="Q286" s="277"/>
      <c r="R286" s="277"/>
      <c r="S286" s="277"/>
      <c r="T286" s="277"/>
      <c r="U286" s="277"/>
      <c r="V286" s="1"/>
    </row>
    <row r="287" spans="1:22">
      <c r="A287" s="276"/>
      <c r="B287" s="277"/>
      <c r="C287" s="277"/>
      <c r="D287" s="277"/>
      <c r="E287" s="277"/>
      <c r="F287" s="277"/>
      <c r="G287" s="277"/>
      <c r="H287" s="277"/>
      <c r="I287" s="277"/>
      <c r="J287" s="277"/>
      <c r="K287" s="277"/>
      <c r="L287" s="277"/>
      <c r="M287" s="277"/>
      <c r="N287" s="277"/>
      <c r="O287" s="277"/>
      <c r="P287" s="277"/>
      <c r="Q287" s="277"/>
      <c r="R287" s="277"/>
      <c r="S287" s="277"/>
      <c r="T287" s="277"/>
      <c r="U287" s="277"/>
      <c r="V287" s="1"/>
    </row>
    <row r="288" spans="1:22">
      <c r="A288" s="276"/>
      <c r="B288" s="277"/>
      <c r="C288" s="277"/>
      <c r="D288" s="277"/>
      <c r="E288" s="277"/>
      <c r="F288" s="277"/>
      <c r="G288" s="277"/>
      <c r="H288" s="277"/>
      <c r="I288" s="277"/>
      <c r="J288" s="277"/>
      <c r="K288" s="277"/>
      <c r="L288" s="277"/>
      <c r="M288" s="277"/>
      <c r="N288" s="277"/>
      <c r="O288" s="277"/>
      <c r="P288" s="277"/>
      <c r="Q288" s="277"/>
      <c r="R288" s="277"/>
      <c r="S288" s="277"/>
      <c r="T288" s="277"/>
      <c r="U288" s="277"/>
      <c r="V288" s="1"/>
    </row>
    <row r="289" spans="1:22">
      <c r="A289" s="276"/>
      <c r="B289" s="277"/>
      <c r="C289" s="277"/>
      <c r="D289" s="277"/>
      <c r="E289" s="277"/>
      <c r="F289" s="277"/>
      <c r="G289" s="277"/>
      <c r="H289" s="277"/>
      <c r="I289" s="277"/>
      <c r="J289" s="277"/>
      <c r="K289" s="277"/>
      <c r="L289" s="277"/>
      <c r="M289" s="277"/>
      <c r="N289" s="277"/>
      <c r="O289" s="277"/>
      <c r="P289" s="277"/>
      <c r="Q289" s="277"/>
      <c r="R289" s="277"/>
      <c r="S289" s="277"/>
      <c r="T289" s="277"/>
      <c r="U289" s="277"/>
      <c r="V289" s="1"/>
    </row>
    <row r="290" spans="1:22">
      <c r="A290" s="276"/>
      <c r="B290" s="277"/>
      <c r="C290" s="277"/>
      <c r="D290" s="277"/>
      <c r="E290" s="277"/>
      <c r="F290" s="277"/>
      <c r="G290" s="277"/>
      <c r="H290" s="277"/>
      <c r="I290" s="277"/>
      <c r="J290" s="277"/>
      <c r="K290" s="277"/>
      <c r="L290" s="277"/>
      <c r="M290" s="277"/>
      <c r="N290" s="277"/>
      <c r="O290" s="277"/>
      <c r="P290" s="277"/>
      <c r="Q290" s="277"/>
      <c r="R290" s="277"/>
      <c r="S290" s="277"/>
      <c r="T290" s="277"/>
      <c r="U290" s="277"/>
      <c r="V290" s="1"/>
    </row>
    <row r="291" spans="1:22">
      <c r="A291" s="276"/>
      <c r="B291" s="277"/>
      <c r="C291" s="277"/>
      <c r="D291" s="277"/>
      <c r="E291" s="277"/>
      <c r="F291" s="277"/>
      <c r="G291" s="277"/>
      <c r="H291" s="277"/>
      <c r="I291" s="277"/>
      <c r="J291" s="277"/>
      <c r="K291" s="277"/>
      <c r="L291" s="277"/>
      <c r="M291" s="277"/>
      <c r="N291" s="277"/>
      <c r="O291" s="277"/>
      <c r="P291" s="277"/>
      <c r="Q291" s="277"/>
      <c r="R291" s="277"/>
      <c r="S291" s="277"/>
      <c r="T291" s="277"/>
      <c r="U291" s="277"/>
      <c r="V291" s="1"/>
    </row>
    <row r="292" spans="1:22">
      <c r="A292" s="276"/>
      <c r="B292" s="277"/>
      <c r="C292" s="277"/>
      <c r="D292" s="277"/>
      <c r="E292" s="277"/>
      <c r="F292" s="277"/>
      <c r="G292" s="277"/>
      <c r="H292" s="277"/>
      <c r="I292" s="277"/>
      <c r="J292" s="277"/>
      <c r="K292" s="277"/>
      <c r="L292" s="277"/>
      <c r="M292" s="277"/>
      <c r="N292" s="277"/>
      <c r="O292" s="277"/>
      <c r="P292" s="277"/>
      <c r="Q292" s="277"/>
      <c r="R292" s="277"/>
      <c r="S292" s="277"/>
      <c r="T292" s="277"/>
      <c r="U292" s="277"/>
      <c r="V292" s="1"/>
    </row>
    <row r="293" spans="1:22">
      <c r="A293" s="276"/>
      <c r="B293" s="277"/>
      <c r="C293" s="277"/>
      <c r="D293" s="277"/>
      <c r="E293" s="277"/>
      <c r="F293" s="277"/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  <c r="Q293" s="277"/>
      <c r="R293" s="277"/>
      <c r="S293" s="277"/>
      <c r="T293" s="277"/>
      <c r="U293" s="277"/>
      <c r="V293" s="1"/>
    </row>
    <row r="294" spans="1:22">
      <c r="A294" s="276"/>
      <c r="B294" s="277"/>
      <c r="C294" s="277"/>
      <c r="D294" s="277"/>
      <c r="E294" s="277"/>
      <c r="F294" s="277"/>
      <c r="G294" s="277"/>
      <c r="H294" s="277"/>
      <c r="I294" s="277"/>
      <c r="J294" s="277"/>
      <c r="K294" s="277"/>
      <c r="L294" s="277"/>
      <c r="M294" s="277"/>
      <c r="N294" s="277"/>
      <c r="O294" s="277"/>
      <c r="P294" s="277"/>
      <c r="Q294" s="277"/>
      <c r="R294" s="277"/>
      <c r="S294" s="277"/>
      <c r="T294" s="277"/>
      <c r="U294" s="277"/>
      <c r="V294" s="1"/>
    </row>
    <row r="295" spans="1:22">
      <c r="A295" s="276"/>
      <c r="B295" s="277"/>
      <c r="C295" s="277"/>
      <c r="D295" s="277"/>
      <c r="E295" s="277"/>
      <c r="F295" s="277"/>
      <c r="G295" s="277"/>
      <c r="H295" s="277"/>
      <c r="I295" s="277"/>
      <c r="J295" s="277"/>
      <c r="K295" s="277"/>
      <c r="L295" s="277"/>
      <c r="M295" s="277"/>
      <c r="N295" s="277"/>
      <c r="O295" s="277"/>
      <c r="P295" s="277"/>
      <c r="Q295" s="277"/>
      <c r="R295" s="277"/>
      <c r="S295" s="277"/>
      <c r="T295" s="277"/>
      <c r="U295" s="277"/>
      <c r="V295" s="1"/>
    </row>
    <row r="296" spans="1:22">
      <c r="A296" s="276"/>
      <c r="B296" s="277"/>
      <c r="C296" s="277"/>
      <c r="D296" s="277"/>
      <c r="E296" s="277"/>
      <c r="F296" s="277"/>
      <c r="G296" s="277"/>
      <c r="H296" s="277"/>
      <c r="I296" s="277"/>
      <c r="J296" s="277"/>
      <c r="K296" s="277"/>
      <c r="L296" s="277"/>
      <c r="M296" s="277"/>
      <c r="N296" s="277"/>
      <c r="O296" s="277"/>
      <c r="P296" s="277"/>
      <c r="Q296" s="277"/>
      <c r="R296" s="277"/>
      <c r="S296" s="277"/>
      <c r="T296" s="277"/>
      <c r="U296" s="277"/>
      <c r="V296" s="1"/>
    </row>
    <row r="297" spans="1:22">
      <c r="A297" s="276"/>
      <c r="B297" s="277"/>
      <c r="C297" s="277"/>
      <c r="D297" s="277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1"/>
    </row>
    <row r="298" spans="1:22">
      <c r="A298" s="276"/>
      <c r="B298" s="277"/>
      <c r="C298" s="277"/>
      <c r="D298" s="277"/>
      <c r="E298" s="277"/>
      <c r="F298" s="277"/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  <c r="Q298" s="277"/>
      <c r="R298" s="277"/>
      <c r="S298" s="277"/>
      <c r="T298" s="277"/>
      <c r="U298" s="277"/>
      <c r="V298" s="1"/>
    </row>
    <row r="299" spans="1:22">
      <c r="A299" s="276"/>
      <c r="B299" s="277"/>
      <c r="C299" s="277"/>
      <c r="D299" s="277"/>
      <c r="E299" s="277"/>
      <c r="F299" s="277"/>
      <c r="G299" s="277"/>
      <c r="H299" s="277"/>
      <c r="I299" s="277"/>
      <c r="J299" s="277"/>
      <c r="K299" s="277"/>
      <c r="L299" s="277"/>
      <c r="M299" s="277"/>
      <c r="N299" s="277"/>
      <c r="O299" s="277"/>
      <c r="P299" s="277"/>
      <c r="Q299" s="277"/>
      <c r="R299" s="277"/>
      <c r="S299" s="277"/>
      <c r="T299" s="277"/>
      <c r="U299" s="277"/>
      <c r="V299" s="1"/>
    </row>
    <row r="300" spans="1:22">
      <c r="A300" s="276"/>
      <c r="B300" s="277"/>
      <c r="C300" s="277"/>
      <c r="D300" s="277"/>
      <c r="E300" s="277"/>
      <c r="F300" s="277"/>
      <c r="G300" s="277"/>
      <c r="H300" s="277"/>
      <c r="I300" s="277"/>
      <c r="J300" s="277"/>
      <c r="K300" s="277"/>
      <c r="L300" s="277"/>
      <c r="M300" s="277"/>
      <c r="N300" s="277"/>
      <c r="O300" s="277"/>
      <c r="P300" s="277"/>
      <c r="Q300" s="277"/>
      <c r="R300" s="277"/>
      <c r="S300" s="277"/>
      <c r="T300" s="277"/>
      <c r="U300" s="277"/>
      <c r="V300" s="1"/>
    </row>
    <row r="301" spans="1:22">
      <c r="A301" s="276"/>
      <c r="B301" s="277"/>
      <c r="C301" s="277"/>
      <c r="D301" s="277"/>
      <c r="E301" s="277"/>
      <c r="F301" s="277"/>
      <c r="G301" s="277"/>
      <c r="H301" s="277"/>
      <c r="I301" s="277"/>
      <c r="J301" s="277"/>
      <c r="K301" s="277"/>
      <c r="L301" s="277"/>
      <c r="M301" s="277"/>
      <c r="N301" s="277"/>
      <c r="O301" s="277"/>
      <c r="P301" s="277"/>
      <c r="Q301" s="277"/>
      <c r="R301" s="277"/>
      <c r="S301" s="277"/>
      <c r="T301" s="277"/>
      <c r="U301" s="277"/>
      <c r="V301" s="1"/>
    </row>
    <row r="302" spans="1:22">
      <c r="A302" s="276"/>
      <c r="B302" s="277"/>
      <c r="C302" s="277"/>
      <c r="D302" s="277"/>
      <c r="E302" s="277"/>
      <c r="F302" s="277"/>
      <c r="G302" s="277"/>
      <c r="H302" s="277"/>
      <c r="I302" s="277"/>
      <c r="J302" s="277"/>
      <c r="K302" s="277"/>
      <c r="L302" s="277"/>
      <c r="M302" s="277"/>
      <c r="N302" s="277"/>
      <c r="O302" s="277"/>
      <c r="P302" s="277"/>
      <c r="Q302" s="277"/>
      <c r="R302" s="277"/>
      <c r="S302" s="277"/>
      <c r="T302" s="277"/>
      <c r="U302" s="277"/>
      <c r="V302" s="1"/>
    </row>
    <row r="303" spans="1:22">
      <c r="A303" s="276"/>
      <c r="B303" s="277"/>
      <c r="C303" s="277"/>
      <c r="D303" s="277"/>
      <c r="E303" s="277"/>
      <c r="F303" s="277"/>
      <c r="G303" s="277"/>
      <c r="H303" s="277"/>
      <c r="I303" s="277"/>
      <c r="J303" s="277"/>
      <c r="K303" s="277"/>
      <c r="L303" s="277"/>
      <c r="M303" s="277"/>
      <c r="N303" s="277"/>
      <c r="O303" s="277"/>
      <c r="P303" s="277"/>
      <c r="Q303" s="277"/>
      <c r="R303" s="277"/>
      <c r="S303" s="277"/>
      <c r="T303" s="277"/>
      <c r="U303" s="277"/>
      <c r="V303" s="1"/>
    </row>
    <row r="304" spans="1:22">
      <c r="A304" s="276"/>
      <c r="B304" s="277"/>
      <c r="C304" s="277"/>
      <c r="D304" s="277"/>
      <c r="E304" s="277"/>
      <c r="F304" s="277"/>
      <c r="G304" s="277"/>
      <c r="H304" s="277"/>
      <c r="I304" s="277"/>
      <c r="J304" s="277"/>
      <c r="K304" s="277"/>
      <c r="L304" s="277"/>
      <c r="M304" s="277"/>
      <c r="N304" s="277"/>
      <c r="O304" s="277"/>
      <c r="P304" s="277"/>
      <c r="Q304" s="277"/>
      <c r="R304" s="277"/>
      <c r="S304" s="277"/>
      <c r="T304" s="277"/>
      <c r="U304" s="277"/>
      <c r="V304" s="1"/>
    </row>
    <row r="305" spans="1:22">
      <c r="A305" s="276"/>
      <c r="B305" s="277"/>
      <c r="C305" s="277"/>
      <c r="D305" s="277"/>
      <c r="E305" s="277"/>
      <c r="F305" s="277"/>
      <c r="G305" s="277"/>
      <c r="H305" s="277"/>
      <c r="I305" s="277"/>
      <c r="J305" s="277"/>
      <c r="K305" s="277"/>
      <c r="L305" s="277"/>
      <c r="M305" s="277"/>
      <c r="N305" s="277"/>
      <c r="O305" s="277"/>
      <c r="P305" s="277"/>
      <c r="Q305" s="277"/>
      <c r="R305" s="277"/>
      <c r="S305" s="277"/>
      <c r="T305" s="277"/>
      <c r="U305" s="277"/>
      <c r="V305" s="1"/>
    </row>
    <row r="306" spans="1:22">
      <c r="A306" s="276"/>
      <c r="B306" s="277"/>
      <c r="C306" s="277"/>
      <c r="D306" s="277"/>
      <c r="E306" s="277"/>
      <c r="F306" s="277"/>
      <c r="G306" s="277"/>
      <c r="H306" s="277"/>
      <c r="I306" s="277"/>
      <c r="J306" s="277"/>
      <c r="K306" s="277"/>
      <c r="L306" s="277"/>
      <c r="M306" s="277"/>
      <c r="N306" s="277"/>
      <c r="O306" s="277"/>
      <c r="P306" s="277"/>
      <c r="Q306" s="277"/>
      <c r="R306" s="277"/>
      <c r="S306" s="277"/>
      <c r="T306" s="277"/>
      <c r="U306" s="277"/>
      <c r="V306" s="1"/>
    </row>
    <row r="307" spans="1:22">
      <c r="A307" s="276"/>
      <c r="B307" s="277"/>
      <c r="C307" s="277"/>
      <c r="D307" s="277"/>
      <c r="E307" s="277"/>
      <c r="F307" s="277"/>
      <c r="G307" s="277"/>
      <c r="H307" s="277"/>
      <c r="I307" s="277"/>
      <c r="J307" s="277"/>
      <c r="K307" s="277"/>
      <c r="L307" s="277"/>
      <c r="M307" s="277"/>
      <c r="N307" s="277"/>
      <c r="O307" s="277"/>
      <c r="P307" s="277"/>
      <c r="Q307" s="277"/>
      <c r="R307" s="277"/>
      <c r="S307" s="277"/>
      <c r="T307" s="277"/>
      <c r="U307" s="277"/>
      <c r="V307" s="1"/>
    </row>
    <row r="308" spans="1:22">
      <c r="A308" s="276"/>
      <c r="B308" s="277"/>
      <c r="C308" s="277"/>
      <c r="D308" s="277"/>
      <c r="E308" s="277"/>
      <c r="F308" s="277"/>
      <c r="G308" s="277"/>
      <c r="H308" s="277"/>
      <c r="I308" s="277"/>
      <c r="J308" s="277"/>
      <c r="K308" s="277"/>
      <c r="L308" s="277"/>
      <c r="M308" s="277"/>
      <c r="N308" s="277"/>
      <c r="O308" s="277"/>
      <c r="P308" s="277"/>
      <c r="Q308" s="277"/>
      <c r="R308" s="277"/>
      <c r="S308" s="277"/>
      <c r="T308" s="277"/>
      <c r="U308" s="277"/>
      <c r="V308" s="1"/>
    </row>
    <row r="309" spans="1:22">
      <c r="A309" s="276"/>
      <c r="B309" s="277"/>
      <c r="C309" s="277"/>
      <c r="D309" s="277"/>
      <c r="E309" s="277"/>
      <c r="F309" s="277"/>
      <c r="G309" s="277"/>
      <c r="H309" s="277"/>
      <c r="I309" s="277"/>
      <c r="J309" s="277"/>
      <c r="K309" s="277"/>
      <c r="L309" s="277"/>
      <c r="M309" s="277"/>
      <c r="N309" s="277"/>
      <c r="O309" s="277"/>
      <c r="P309" s="277"/>
      <c r="Q309" s="277"/>
      <c r="R309" s="277"/>
      <c r="S309" s="277"/>
      <c r="T309" s="277"/>
      <c r="U309" s="277"/>
      <c r="V309" s="1"/>
    </row>
    <row r="310" spans="1:22">
      <c r="A310" s="276"/>
      <c r="B310" s="277"/>
      <c r="C310" s="277"/>
      <c r="D310" s="277"/>
      <c r="E310" s="277"/>
      <c r="F310" s="277"/>
      <c r="G310" s="277"/>
      <c r="H310" s="277"/>
      <c r="I310" s="277"/>
      <c r="J310" s="277"/>
      <c r="K310" s="277"/>
      <c r="L310" s="277"/>
      <c r="M310" s="277"/>
      <c r="N310" s="277"/>
      <c r="O310" s="277"/>
      <c r="P310" s="277"/>
      <c r="Q310" s="277"/>
      <c r="R310" s="277"/>
      <c r="S310" s="277"/>
      <c r="T310" s="277"/>
      <c r="U310" s="277"/>
      <c r="V310" s="1"/>
    </row>
    <row r="311" spans="1:22">
      <c r="A311" s="276"/>
      <c r="B311" s="277"/>
      <c r="C311" s="277"/>
      <c r="D311" s="277"/>
      <c r="E311" s="277"/>
      <c r="F311" s="277"/>
      <c r="G311" s="277"/>
      <c r="H311" s="277"/>
      <c r="I311" s="277"/>
      <c r="J311" s="277"/>
      <c r="K311" s="277"/>
      <c r="L311" s="277"/>
      <c r="M311" s="277"/>
      <c r="N311" s="277"/>
      <c r="O311" s="277"/>
      <c r="P311" s="277"/>
      <c r="Q311" s="277"/>
      <c r="R311" s="277"/>
      <c r="S311" s="277"/>
      <c r="T311" s="277"/>
      <c r="U311" s="277"/>
      <c r="V311" s="1"/>
    </row>
    <row r="312" spans="1:22">
      <c r="A312" s="276"/>
      <c r="B312" s="277"/>
      <c r="C312" s="277"/>
      <c r="D312" s="277"/>
      <c r="E312" s="277"/>
      <c r="F312" s="277"/>
      <c r="G312" s="277"/>
      <c r="H312" s="277"/>
      <c r="I312" s="277"/>
      <c r="J312" s="277"/>
      <c r="K312" s="277"/>
      <c r="L312" s="277"/>
      <c r="M312" s="277"/>
      <c r="N312" s="277"/>
      <c r="O312" s="277"/>
      <c r="P312" s="277"/>
      <c r="Q312" s="277"/>
      <c r="R312" s="277"/>
      <c r="S312" s="277"/>
      <c r="T312" s="277"/>
      <c r="U312" s="277"/>
      <c r="V312" s="1"/>
    </row>
    <row r="313" spans="1:22">
      <c r="A313" s="276"/>
      <c r="B313" s="277"/>
      <c r="C313" s="277"/>
      <c r="D313" s="277"/>
      <c r="E313" s="277"/>
      <c r="F313" s="277"/>
      <c r="G313" s="277"/>
      <c r="H313" s="277"/>
      <c r="I313" s="277"/>
      <c r="J313" s="277"/>
      <c r="K313" s="277"/>
      <c r="L313" s="277"/>
      <c r="M313" s="277"/>
      <c r="N313" s="277"/>
      <c r="O313" s="277"/>
      <c r="P313" s="277"/>
      <c r="Q313" s="277"/>
      <c r="R313" s="277"/>
      <c r="S313" s="277"/>
      <c r="T313" s="277"/>
      <c r="U313" s="277"/>
      <c r="V313" s="1"/>
    </row>
    <row r="314" spans="1:22">
      <c r="A314" s="276"/>
      <c r="B314" s="277"/>
      <c r="C314" s="277"/>
      <c r="D314" s="277"/>
      <c r="E314" s="277"/>
      <c r="F314" s="277"/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  <c r="Q314" s="277"/>
      <c r="R314" s="277"/>
      <c r="S314" s="277"/>
      <c r="T314" s="277"/>
      <c r="U314" s="277"/>
      <c r="V314" s="1"/>
    </row>
    <row r="315" spans="1:22">
      <c r="A315" s="276"/>
      <c r="B315" s="277"/>
      <c r="C315" s="277"/>
      <c r="D315" s="277"/>
      <c r="E315" s="277"/>
      <c r="F315" s="277"/>
      <c r="G315" s="277"/>
      <c r="H315" s="277"/>
      <c r="I315" s="277"/>
      <c r="J315" s="277"/>
      <c r="K315" s="277"/>
      <c r="L315" s="277"/>
      <c r="M315" s="277"/>
      <c r="N315" s="277"/>
      <c r="O315" s="277"/>
      <c r="P315" s="277"/>
      <c r="Q315" s="277"/>
      <c r="R315" s="277"/>
      <c r="S315" s="277"/>
      <c r="T315" s="277"/>
      <c r="U315" s="277"/>
      <c r="V315" s="1"/>
    </row>
    <row r="316" spans="1:22">
      <c r="A316" s="276"/>
      <c r="B316" s="277"/>
      <c r="C316" s="277"/>
      <c r="D316" s="277"/>
      <c r="E316" s="277"/>
      <c r="F316" s="277"/>
      <c r="G316" s="277"/>
      <c r="H316" s="277"/>
      <c r="I316" s="277"/>
      <c r="J316" s="277"/>
      <c r="K316" s="277"/>
      <c r="L316" s="277"/>
      <c r="M316" s="277"/>
      <c r="N316" s="277"/>
      <c r="O316" s="277"/>
      <c r="P316" s="277"/>
      <c r="Q316" s="277"/>
      <c r="R316" s="277"/>
      <c r="S316" s="277"/>
      <c r="T316" s="277"/>
      <c r="U316" s="277"/>
      <c r="V316" s="1"/>
    </row>
    <row r="317" spans="1:22">
      <c r="A317" s="276"/>
      <c r="B317" s="277"/>
      <c r="C317" s="277"/>
      <c r="D317" s="277"/>
      <c r="E317" s="277"/>
      <c r="F317" s="277"/>
      <c r="G317" s="277"/>
      <c r="H317" s="277"/>
      <c r="I317" s="277"/>
      <c r="J317" s="277"/>
      <c r="K317" s="277"/>
      <c r="L317" s="277"/>
      <c r="M317" s="277"/>
      <c r="N317" s="277"/>
      <c r="O317" s="277"/>
      <c r="P317" s="277"/>
      <c r="Q317" s="277"/>
      <c r="R317" s="277"/>
      <c r="S317" s="277"/>
      <c r="T317" s="277"/>
      <c r="U317" s="277"/>
      <c r="V317" s="1"/>
    </row>
    <row r="318" spans="1:22">
      <c r="A318" s="276"/>
      <c r="B318" s="277"/>
      <c r="C318" s="277"/>
      <c r="D318" s="277"/>
      <c r="E318" s="277"/>
      <c r="F318" s="277"/>
      <c r="G318" s="277"/>
      <c r="H318" s="277"/>
      <c r="I318" s="277"/>
      <c r="J318" s="277"/>
      <c r="K318" s="277"/>
      <c r="L318" s="277"/>
      <c r="M318" s="277"/>
      <c r="N318" s="277"/>
      <c r="O318" s="277"/>
      <c r="P318" s="277"/>
      <c r="Q318" s="277"/>
      <c r="R318" s="277"/>
      <c r="S318" s="277"/>
      <c r="T318" s="277"/>
      <c r="U318" s="277"/>
      <c r="V318" s="1"/>
    </row>
    <row r="319" spans="1:22">
      <c r="A319" s="276"/>
      <c r="B319" s="277"/>
      <c r="C319" s="277"/>
      <c r="D319" s="277"/>
      <c r="E319" s="277"/>
      <c r="F319" s="277"/>
      <c r="G319" s="277"/>
      <c r="H319" s="277"/>
      <c r="I319" s="277"/>
      <c r="J319" s="277"/>
      <c r="K319" s="277"/>
      <c r="L319" s="277"/>
      <c r="M319" s="277"/>
      <c r="N319" s="277"/>
      <c r="O319" s="277"/>
      <c r="P319" s="277"/>
      <c r="Q319" s="277"/>
      <c r="R319" s="277"/>
      <c r="S319" s="277"/>
      <c r="T319" s="277"/>
      <c r="U319" s="277"/>
      <c r="V319" s="1"/>
    </row>
    <row r="320" spans="1:22">
      <c r="A320" s="276"/>
      <c r="B320" s="277"/>
      <c r="C320" s="277"/>
      <c r="D320" s="277"/>
      <c r="E320" s="277"/>
      <c r="F320" s="277"/>
      <c r="G320" s="277"/>
      <c r="H320" s="277"/>
      <c r="I320" s="277"/>
      <c r="J320" s="277"/>
      <c r="K320" s="277"/>
      <c r="L320" s="277"/>
      <c r="M320" s="277"/>
      <c r="N320" s="277"/>
      <c r="O320" s="277"/>
      <c r="P320" s="277"/>
      <c r="Q320" s="277"/>
      <c r="R320" s="277"/>
      <c r="S320" s="277"/>
      <c r="T320" s="277"/>
      <c r="U320" s="277"/>
      <c r="V320" s="1"/>
    </row>
    <row r="321" spans="1:22">
      <c r="A321" s="276"/>
      <c r="B321" s="277"/>
      <c r="C321" s="277"/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  <c r="V321" s="1"/>
    </row>
    <row r="322" spans="1:22">
      <c r="A322" s="276"/>
      <c r="B322" s="277"/>
      <c r="C322" s="277"/>
      <c r="D322" s="277"/>
      <c r="E322" s="277"/>
      <c r="F322" s="27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  <c r="V322" s="1"/>
    </row>
    <row r="323" spans="1:22">
      <c r="A323" s="276"/>
      <c r="B323" s="277"/>
      <c r="C323" s="277"/>
      <c r="D323" s="277"/>
      <c r="E323" s="277"/>
      <c r="F323" s="277"/>
      <c r="G323" s="277"/>
      <c r="H323" s="277"/>
      <c r="I323" s="277"/>
      <c r="J323" s="277"/>
      <c r="K323" s="277"/>
      <c r="L323" s="277"/>
      <c r="M323" s="277"/>
      <c r="N323" s="277"/>
      <c r="O323" s="277"/>
      <c r="P323" s="277"/>
      <c r="Q323" s="277"/>
      <c r="R323" s="277"/>
      <c r="S323" s="277"/>
      <c r="T323" s="277"/>
      <c r="U323" s="277"/>
      <c r="V323" s="1"/>
    </row>
    <row r="324" spans="1:22">
      <c r="A324" s="276"/>
      <c r="B324" s="277"/>
      <c r="C324" s="277"/>
      <c r="D324" s="277"/>
      <c r="E324" s="277"/>
      <c r="F324" s="277"/>
      <c r="G324" s="277"/>
      <c r="H324" s="277"/>
      <c r="I324" s="277"/>
      <c r="J324" s="277"/>
      <c r="K324" s="277"/>
      <c r="L324" s="277"/>
      <c r="M324" s="277"/>
      <c r="N324" s="277"/>
      <c r="O324" s="277"/>
      <c r="P324" s="277"/>
      <c r="Q324" s="277"/>
      <c r="R324" s="277"/>
      <c r="S324" s="277"/>
      <c r="T324" s="277"/>
      <c r="U324" s="277"/>
      <c r="V324" s="1"/>
    </row>
    <row r="325" spans="1:22">
      <c r="A325" s="276"/>
      <c r="B325" s="277"/>
      <c r="C325" s="277"/>
      <c r="D325" s="277"/>
      <c r="E325" s="277"/>
      <c r="F325" s="277"/>
      <c r="G325" s="277"/>
      <c r="H325" s="277"/>
      <c r="I325" s="277"/>
      <c r="J325" s="277"/>
      <c r="K325" s="277"/>
      <c r="L325" s="277"/>
      <c r="M325" s="277"/>
      <c r="N325" s="277"/>
      <c r="O325" s="277"/>
      <c r="P325" s="277"/>
      <c r="Q325" s="277"/>
      <c r="R325" s="277"/>
      <c r="S325" s="277"/>
      <c r="T325" s="277"/>
      <c r="U325" s="277"/>
      <c r="V325" s="1"/>
    </row>
    <row r="326" spans="1:22">
      <c r="A326" s="276"/>
      <c r="B326" s="277"/>
      <c r="C326" s="277"/>
      <c r="D326" s="277"/>
      <c r="E326" s="277"/>
      <c r="F326" s="277"/>
      <c r="G326" s="277"/>
      <c r="H326" s="277"/>
      <c r="I326" s="277"/>
      <c r="J326" s="277"/>
      <c r="K326" s="277"/>
      <c r="L326" s="277"/>
      <c r="M326" s="277"/>
      <c r="N326" s="277"/>
      <c r="O326" s="277"/>
      <c r="P326" s="277"/>
      <c r="Q326" s="277"/>
      <c r="R326" s="277"/>
      <c r="S326" s="277"/>
      <c r="T326" s="277"/>
      <c r="U326" s="277"/>
      <c r="V326" s="1"/>
    </row>
    <row r="327" spans="1:22">
      <c r="A327" s="276"/>
      <c r="B327" s="277"/>
      <c r="C327" s="277"/>
      <c r="D327" s="277"/>
      <c r="E327" s="277"/>
      <c r="F327" s="277"/>
      <c r="G327" s="277"/>
      <c r="H327" s="277"/>
      <c r="I327" s="277"/>
      <c r="J327" s="277"/>
      <c r="K327" s="277"/>
      <c r="L327" s="277"/>
      <c r="M327" s="277"/>
      <c r="N327" s="277"/>
      <c r="O327" s="277"/>
      <c r="P327" s="277"/>
      <c r="Q327" s="277"/>
      <c r="R327" s="277"/>
      <c r="S327" s="277"/>
      <c r="T327" s="277"/>
      <c r="U327" s="277"/>
      <c r="V327" s="1"/>
    </row>
    <row r="328" spans="1:22">
      <c r="A328" s="276"/>
      <c r="B328" s="277"/>
      <c r="C328" s="277"/>
      <c r="D328" s="277"/>
      <c r="E328" s="277"/>
      <c r="F328" s="277"/>
      <c r="G328" s="277"/>
      <c r="H328" s="277"/>
      <c r="I328" s="277"/>
      <c r="J328" s="277"/>
      <c r="K328" s="277"/>
      <c r="L328" s="277"/>
      <c r="M328" s="277"/>
      <c r="N328" s="277"/>
      <c r="O328" s="277"/>
      <c r="P328" s="277"/>
      <c r="Q328" s="277"/>
      <c r="R328" s="277"/>
      <c r="S328" s="277"/>
      <c r="T328" s="277"/>
      <c r="U328" s="277"/>
      <c r="V328" s="1"/>
    </row>
    <row r="329" spans="1:22">
      <c r="A329" s="276"/>
      <c r="B329" s="277"/>
      <c r="C329" s="277"/>
      <c r="D329" s="277"/>
      <c r="E329" s="277"/>
      <c r="F329" s="277"/>
      <c r="G329" s="277"/>
      <c r="H329" s="277"/>
      <c r="I329" s="277"/>
      <c r="J329" s="277"/>
      <c r="K329" s="277"/>
      <c r="L329" s="277"/>
      <c r="M329" s="277"/>
      <c r="N329" s="277"/>
      <c r="O329" s="277"/>
      <c r="P329" s="277"/>
      <c r="Q329" s="277"/>
      <c r="R329" s="277"/>
      <c r="S329" s="277"/>
      <c r="T329" s="277"/>
      <c r="U329" s="277"/>
      <c r="V329" s="1"/>
    </row>
    <row r="330" spans="1:22">
      <c r="A330" s="276"/>
      <c r="B330" s="277"/>
      <c r="C330" s="277"/>
      <c r="D330" s="277"/>
      <c r="E330" s="277"/>
      <c r="F330" s="277"/>
      <c r="G330" s="277"/>
      <c r="H330" s="277"/>
      <c r="I330" s="277"/>
      <c r="J330" s="277"/>
      <c r="K330" s="277"/>
      <c r="L330" s="277"/>
      <c r="M330" s="277"/>
      <c r="N330" s="277"/>
      <c r="O330" s="277"/>
      <c r="P330" s="277"/>
      <c r="Q330" s="277"/>
      <c r="R330" s="277"/>
      <c r="S330" s="277"/>
      <c r="T330" s="277"/>
      <c r="U330" s="277"/>
      <c r="V330" s="1"/>
    </row>
    <row r="331" spans="1:22">
      <c r="A331" s="276"/>
      <c r="B331" s="277"/>
      <c r="C331" s="277"/>
      <c r="D331" s="277"/>
      <c r="E331" s="277"/>
      <c r="F331" s="277"/>
      <c r="G331" s="277"/>
      <c r="H331" s="277"/>
      <c r="I331" s="277"/>
      <c r="J331" s="277"/>
      <c r="K331" s="277"/>
      <c r="L331" s="277"/>
      <c r="M331" s="277"/>
      <c r="N331" s="277"/>
      <c r="O331" s="277"/>
      <c r="P331" s="277"/>
      <c r="Q331" s="277"/>
      <c r="R331" s="277"/>
      <c r="S331" s="277"/>
      <c r="T331" s="277"/>
      <c r="U331" s="277"/>
      <c r="V331" s="1"/>
    </row>
    <row r="332" spans="1:22">
      <c r="A332" s="276"/>
      <c r="B332" s="277"/>
      <c r="C332" s="277"/>
      <c r="D332" s="277"/>
      <c r="E332" s="277"/>
      <c r="F332" s="277"/>
      <c r="G332" s="277"/>
      <c r="H332" s="277"/>
      <c r="I332" s="277"/>
      <c r="J332" s="277"/>
      <c r="K332" s="277"/>
      <c r="L332" s="277"/>
      <c r="M332" s="277"/>
      <c r="N332" s="277"/>
      <c r="O332" s="277"/>
      <c r="P332" s="277"/>
      <c r="Q332" s="277"/>
      <c r="R332" s="277"/>
      <c r="S332" s="277"/>
      <c r="T332" s="277"/>
      <c r="U332" s="277"/>
      <c r="V332" s="1"/>
    </row>
    <row r="333" spans="1:22">
      <c r="A333" s="276"/>
      <c r="B333" s="277"/>
      <c r="C333" s="277"/>
      <c r="D333" s="277"/>
      <c r="E333" s="277"/>
      <c r="F333" s="277"/>
      <c r="G333" s="277"/>
      <c r="H333" s="277"/>
      <c r="I333" s="277"/>
      <c r="J333" s="277"/>
      <c r="K333" s="277"/>
      <c r="L333" s="277"/>
      <c r="M333" s="277"/>
      <c r="N333" s="277"/>
      <c r="O333" s="277"/>
      <c r="P333" s="277"/>
      <c r="Q333" s="277"/>
      <c r="R333" s="277"/>
      <c r="S333" s="277"/>
      <c r="T333" s="277"/>
      <c r="U333" s="277"/>
      <c r="V333" s="1"/>
    </row>
    <row r="334" spans="1:22">
      <c r="A334" s="276"/>
      <c r="B334" s="277"/>
      <c r="C334" s="277"/>
      <c r="D334" s="277"/>
      <c r="E334" s="277"/>
      <c r="F334" s="277"/>
      <c r="G334" s="277"/>
      <c r="H334" s="277"/>
      <c r="I334" s="277"/>
      <c r="J334" s="277"/>
      <c r="K334" s="277"/>
      <c r="L334" s="277"/>
      <c r="M334" s="277"/>
      <c r="N334" s="277"/>
      <c r="O334" s="277"/>
      <c r="P334" s="277"/>
      <c r="Q334" s="277"/>
      <c r="R334" s="277"/>
      <c r="S334" s="277"/>
      <c r="T334" s="277"/>
      <c r="U334" s="277"/>
      <c r="V334" s="1"/>
    </row>
    <row r="335" spans="1:22">
      <c r="A335" s="276"/>
      <c r="B335" s="277"/>
      <c r="C335" s="277"/>
      <c r="D335" s="277"/>
      <c r="E335" s="277"/>
      <c r="F335" s="277"/>
      <c r="G335" s="277"/>
      <c r="H335" s="277"/>
      <c r="I335" s="277"/>
      <c r="J335" s="277"/>
      <c r="K335" s="277"/>
      <c r="L335" s="277"/>
      <c r="M335" s="277"/>
      <c r="N335" s="277"/>
      <c r="O335" s="277"/>
      <c r="P335" s="277"/>
      <c r="Q335" s="277"/>
      <c r="R335" s="277"/>
      <c r="S335" s="277"/>
      <c r="T335" s="277"/>
      <c r="U335" s="277"/>
      <c r="V335" s="1"/>
    </row>
    <row r="336" spans="1:22">
      <c r="A336" s="276"/>
      <c r="B336" s="277"/>
      <c r="C336" s="277"/>
      <c r="D336" s="277"/>
      <c r="E336" s="277"/>
      <c r="F336" s="277"/>
      <c r="G336" s="277"/>
      <c r="H336" s="277"/>
      <c r="I336" s="277"/>
      <c r="J336" s="277"/>
      <c r="K336" s="277"/>
      <c r="L336" s="277"/>
      <c r="M336" s="277"/>
      <c r="N336" s="277"/>
      <c r="O336" s="277"/>
      <c r="P336" s="277"/>
      <c r="Q336" s="277"/>
      <c r="R336" s="277"/>
      <c r="S336" s="277"/>
      <c r="T336" s="277"/>
      <c r="U336" s="277"/>
      <c r="V336" s="1"/>
    </row>
    <row r="337" spans="1:22">
      <c r="A337" s="276"/>
      <c r="B337" s="277"/>
      <c r="C337" s="277"/>
      <c r="D337" s="277"/>
      <c r="E337" s="277"/>
      <c r="F337" s="277"/>
      <c r="G337" s="277"/>
      <c r="H337" s="277"/>
      <c r="I337" s="277"/>
      <c r="J337" s="277"/>
      <c r="K337" s="277"/>
      <c r="L337" s="277"/>
      <c r="M337" s="277"/>
      <c r="N337" s="277"/>
      <c r="O337" s="277"/>
      <c r="P337" s="277"/>
      <c r="Q337" s="277"/>
      <c r="R337" s="277"/>
      <c r="S337" s="277"/>
      <c r="T337" s="277"/>
      <c r="U337" s="277"/>
      <c r="V337" s="1"/>
    </row>
    <row r="338" spans="1:22">
      <c r="A338" s="276"/>
      <c r="B338" s="277"/>
      <c r="C338" s="277"/>
      <c r="D338" s="277"/>
      <c r="E338" s="277"/>
      <c r="F338" s="277"/>
      <c r="G338" s="277"/>
      <c r="H338" s="277"/>
      <c r="I338" s="277"/>
      <c r="J338" s="277"/>
      <c r="K338" s="277"/>
      <c r="L338" s="277"/>
      <c r="M338" s="277"/>
      <c r="N338" s="277"/>
      <c r="O338" s="277"/>
      <c r="P338" s="277"/>
      <c r="Q338" s="277"/>
      <c r="R338" s="277"/>
      <c r="S338" s="277"/>
      <c r="T338" s="277"/>
      <c r="U338" s="277"/>
      <c r="V338" s="1"/>
    </row>
    <row r="339" spans="1:22">
      <c r="A339" s="276"/>
      <c r="B339" s="277"/>
      <c r="C339" s="277"/>
      <c r="D339" s="277"/>
      <c r="E339" s="277"/>
      <c r="F339" s="277"/>
      <c r="G339" s="277"/>
      <c r="H339" s="277"/>
      <c r="I339" s="277"/>
      <c r="J339" s="277"/>
      <c r="K339" s="277"/>
      <c r="L339" s="277"/>
      <c r="M339" s="277"/>
      <c r="N339" s="277"/>
      <c r="O339" s="277"/>
      <c r="P339" s="277"/>
      <c r="Q339" s="277"/>
      <c r="R339" s="277"/>
      <c r="S339" s="277"/>
      <c r="T339" s="277"/>
      <c r="U339" s="277"/>
      <c r="V339" s="1"/>
    </row>
    <row r="340" spans="1:22">
      <c r="A340" s="276"/>
      <c r="B340" s="277"/>
      <c r="C340" s="277"/>
      <c r="D340" s="277"/>
      <c r="E340" s="277"/>
      <c r="F340" s="277"/>
      <c r="G340" s="277"/>
      <c r="H340" s="277"/>
      <c r="I340" s="277"/>
      <c r="J340" s="277"/>
      <c r="K340" s="277"/>
      <c r="L340" s="277"/>
      <c r="M340" s="277"/>
      <c r="N340" s="277"/>
      <c r="O340" s="277"/>
      <c r="P340" s="277"/>
      <c r="Q340" s="277"/>
      <c r="R340" s="277"/>
      <c r="S340" s="277"/>
      <c r="T340" s="277"/>
      <c r="U340" s="277"/>
      <c r="V340" s="1"/>
    </row>
    <row r="341" spans="1:22">
      <c r="A341" s="276"/>
      <c r="B341" s="277"/>
      <c r="C341" s="277"/>
      <c r="D341" s="277"/>
      <c r="E341" s="277"/>
      <c r="F341" s="277"/>
      <c r="G341" s="277"/>
      <c r="H341" s="277"/>
      <c r="I341" s="277"/>
      <c r="J341" s="277"/>
      <c r="K341" s="277"/>
      <c r="L341" s="277"/>
      <c r="M341" s="277"/>
      <c r="N341" s="277"/>
      <c r="O341" s="277"/>
      <c r="P341" s="277"/>
      <c r="Q341" s="277"/>
      <c r="R341" s="277"/>
      <c r="S341" s="277"/>
      <c r="T341" s="277"/>
      <c r="U341" s="277"/>
      <c r="V341" s="1"/>
    </row>
    <row r="342" spans="1:22">
      <c r="A342" s="276"/>
      <c r="B342" s="277"/>
      <c r="C342" s="277"/>
      <c r="D342" s="277"/>
      <c r="E342" s="277"/>
      <c r="F342" s="277"/>
      <c r="G342" s="277"/>
      <c r="H342" s="277"/>
      <c r="I342" s="277"/>
      <c r="J342" s="277"/>
      <c r="K342" s="277"/>
      <c r="L342" s="277"/>
      <c r="M342" s="277"/>
      <c r="N342" s="277"/>
      <c r="O342" s="277"/>
      <c r="P342" s="277"/>
      <c r="Q342" s="277"/>
      <c r="R342" s="277"/>
      <c r="S342" s="277"/>
      <c r="T342" s="277"/>
      <c r="U342" s="277"/>
      <c r="V342" s="1"/>
    </row>
    <row r="343" spans="1:22">
      <c r="A343" s="276"/>
      <c r="B343" s="277"/>
      <c r="C343" s="277"/>
      <c r="D343" s="277"/>
      <c r="E343" s="277"/>
      <c r="F343" s="277"/>
      <c r="G343" s="277"/>
      <c r="H343" s="277"/>
      <c r="I343" s="277"/>
      <c r="J343" s="277"/>
      <c r="K343" s="277"/>
      <c r="L343" s="277"/>
      <c r="M343" s="277"/>
      <c r="N343" s="277"/>
      <c r="O343" s="277"/>
      <c r="P343" s="277"/>
      <c r="Q343" s="277"/>
      <c r="R343" s="277"/>
      <c r="S343" s="277"/>
      <c r="T343" s="277"/>
      <c r="U343" s="277"/>
      <c r="V343" s="1"/>
    </row>
    <row r="344" spans="1:22">
      <c r="A344" s="276"/>
      <c r="B344" s="277"/>
      <c r="C344" s="277"/>
      <c r="D344" s="277"/>
      <c r="E344" s="277"/>
      <c r="F344" s="277"/>
      <c r="G344" s="277"/>
      <c r="H344" s="277"/>
      <c r="I344" s="277"/>
      <c r="J344" s="277"/>
      <c r="K344" s="277"/>
      <c r="L344" s="277"/>
      <c r="M344" s="277"/>
      <c r="N344" s="277"/>
      <c r="O344" s="277"/>
      <c r="P344" s="277"/>
      <c r="Q344" s="277"/>
      <c r="R344" s="277"/>
      <c r="S344" s="277"/>
      <c r="T344" s="277"/>
      <c r="U344" s="277"/>
      <c r="V344" s="1"/>
    </row>
    <row r="345" spans="1:22">
      <c r="A345" s="276"/>
      <c r="B345" s="277"/>
      <c r="C345" s="277"/>
      <c r="D345" s="277"/>
      <c r="E345" s="277"/>
      <c r="F345" s="277"/>
      <c r="G345" s="277"/>
      <c r="H345" s="277"/>
      <c r="I345" s="277"/>
      <c r="J345" s="277"/>
      <c r="K345" s="277"/>
      <c r="L345" s="277"/>
      <c r="M345" s="277"/>
      <c r="N345" s="277"/>
      <c r="O345" s="277"/>
      <c r="P345" s="277"/>
      <c r="Q345" s="277"/>
      <c r="R345" s="277"/>
      <c r="S345" s="277"/>
      <c r="T345" s="277"/>
      <c r="U345" s="277"/>
      <c r="V345" s="1"/>
    </row>
    <row r="346" spans="1:22">
      <c r="A346" s="276"/>
      <c r="B346" s="277"/>
      <c r="C346" s="277"/>
      <c r="D346" s="277"/>
      <c r="E346" s="277"/>
      <c r="F346" s="277"/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  <c r="Q346" s="277"/>
      <c r="R346" s="277"/>
      <c r="S346" s="277"/>
      <c r="T346" s="277"/>
      <c r="U346" s="277"/>
      <c r="V346" s="1"/>
    </row>
    <row r="347" spans="1:22">
      <c r="A347" s="276"/>
      <c r="B347" s="277"/>
      <c r="C347" s="277"/>
      <c r="D347" s="277"/>
      <c r="E347" s="277"/>
      <c r="F347" s="277"/>
      <c r="G347" s="277"/>
      <c r="H347" s="277"/>
      <c r="I347" s="277"/>
      <c r="J347" s="277"/>
      <c r="K347" s="277"/>
      <c r="L347" s="277"/>
      <c r="M347" s="277"/>
      <c r="N347" s="277"/>
      <c r="O347" s="277"/>
      <c r="P347" s="277"/>
      <c r="Q347" s="277"/>
      <c r="R347" s="277"/>
      <c r="S347" s="277"/>
      <c r="T347" s="277"/>
      <c r="U347" s="277"/>
      <c r="V347" s="1"/>
    </row>
    <row r="348" spans="1:22">
      <c r="A348" s="276"/>
      <c r="B348" s="277"/>
      <c r="C348" s="277"/>
      <c r="D348" s="277"/>
      <c r="E348" s="277"/>
      <c r="F348" s="277"/>
      <c r="G348" s="277"/>
      <c r="H348" s="277"/>
      <c r="I348" s="277"/>
      <c r="J348" s="277"/>
      <c r="K348" s="277"/>
      <c r="L348" s="277"/>
      <c r="M348" s="277"/>
      <c r="N348" s="277"/>
      <c r="O348" s="277"/>
      <c r="P348" s="277"/>
      <c r="Q348" s="277"/>
      <c r="R348" s="277"/>
      <c r="S348" s="277"/>
      <c r="T348" s="277"/>
      <c r="U348" s="277"/>
      <c r="V348" s="1"/>
    </row>
    <row r="349" spans="1:22">
      <c r="A349" s="276"/>
      <c r="B349" s="277"/>
      <c r="C349" s="277"/>
      <c r="D349" s="277"/>
      <c r="E349" s="277"/>
      <c r="F349" s="277"/>
      <c r="G349" s="277"/>
      <c r="H349" s="277"/>
      <c r="I349" s="277"/>
      <c r="J349" s="277"/>
      <c r="K349" s="277"/>
      <c r="L349" s="277"/>
      <c r="M349" s="277"/>
      <c r="N349" s="277"/>
      <c r="O349" s="277"/>
      <c r="P349" s="277"/>
      <c r="Q349" s="277"/>
      <c r="R349" s="277"/>
      <c r="S349" s="277"/>
      <c r="T349" s="277"/>
      <c r="U349" s="277"/>
      <c r="V349" s="1"/>
    </row>
    <row r="350" spans="1:22">
      <c r="A350" s="276"/>
      <c r="B350" s="277"/>
      <c r="C350" s="277"/>
      <c r="D350" s="277"/>
      <c r="E350" s="277"/>
      <c r="F350" s="277"/>
      <c r="G350" s="277"/>
      <c r="H350" s="277"/>
      <c r="I350" s="277"/>
      <c r="J350" s="277"/>
      <c r="K350" s="277"/>
      <c r="L350" s="277"/>
      <c r="M350" s="277"/>
      <c r="N350" s="277"/>
      <c r="O350" s="277"/>
      <c r="P350" s="277"/>
      <c r="Q350" s="277"/>
      <c r="R350" s="277"/>
      <c r="S350" s="277"/>
      <c r="T350" s="277"/>
      <c r="U350" s="277"/>
      <c r="V350" s="1"/>
    </row>
    <row r="351" spans="1:22">
      <c r="A351" s="276"/>
      <c r="B351" s="277"/>
      <c r="C351" s="277"/>
      <c r="D351" s="277"/>
      <c r="E351" s="277"/>
      <c r="F351" s="277"/>
      <c r="G351" s="277"/>
      <c r="H351" s="277"/>
      <c r="I351" s="277"/>
      <c r="J351" s="277"/>
      <c r="K351" s="277"/>
      <c r="L351" s="277"/>
      <c r="M351" s="277"/>
      <c r="N351" s="277"/>
      <c r="O351" s="277"/>
      <c r="P351" s="277"/>
      <c r="Q351" s="277"/>
      <c r="R351" s="277"/>
      <c r="S351" s="277"/>
      <c r="T351" s="277"/>
      <c r="U351" s="277"/>
      <c r="V351" s="1"/>
    </row>
    <row r="352" spans="1:22">
      <c r="A352" s="276"/>
      <c r="B352" s="277"/>
      <c r="C352" s="277"/>
      <c r="D352" s="277"/>
      <c r="E352" s="277"/>
      <c r="F352" s="277"/>
      <c r="G352" s="277"/>
      <c r="H352" s="277"/>
      <c r="I352" s="277"/>
      <c r="J352" s="277"/>
      <c r="K352" s="277"/>
      <c r="L352" s="277"/>
      <c r="M352" s="277"/>
      <c r="N352" s="277"/>
      <c r="O352" s="277"/>
      <c r="P352" s="277"/>
      <c r="Q352" s="277"/>
      <c r="R352" s="277"/>
      <c r="S352" s="277"/>
      <c r="T352" s="277"/>
      <c r="U352" s="277"/>
      <c r="V352" s="1"/>
    </row>
    <row r="353" spans="1:22">
      <c r="A353" s="276"/>
      <c r="B353" s="277"/>
      <c r="C353" s="277"/>
      <c r="D353" s="277"/>
      <c r="E353" s="277"/>
      <c r="F353" s="277"/>
      <c r="G353" s="277"/>
      <c r="H353" s="277"/>
      <c r="I353" s="277"/>
      <c r="J353" s="277"/>
      <c r="K353" s="277"/>
      <c r="L353" s="277"/>
      <c r="M353" s="277"/>
      <c r="N353" s="277"/>
      <c r="O353" s="277"/>
      <c r="P353" s="277"/>
      <c r="Q353" s="277"/>
      <c r="R353" s="277"/>
      <c r="S353" s="277"/>
      <c r="T353" s="277"/>
      <c r="U353" s="277"/>
      <c r="V353" s="1"/>
    </row>
    <row r="354" spans="1:22">
      <c r="A354" s="276"/>
      <c r="B354" s="277"/>
      <c r="C354" s="277"/>
      <c r="D354" s="277"/>
      <c r="E354" s="277"/>
      <c r="F354" s="277"/>
      <c r="G354" s="277"/>
      <c r="H354" s="277"/>
      <c r="I354" s="277"/>
      <c r="J354" s="277"/>
      <c r="K354" s="277"/>
      <c r="L354" s="277"/>
      <c r="M354" s="277"/>
      <c r="N354" s="277"/>
      <c r="O354" s="277"/>
      <c r="P354" s="277"/>
      <c r="Q354" s="277"/>
      <c r="R354" s="277"/>
      <c r="S354" s="277"/>
      <c r="T354" s="277"/>
      <c r="U354" s="277"/>
      <c r="V354" s="1"/>
    </row>
    <row r="355" spans="1:22">
      <c r="A355" s="276"/>
      <c r="B355" s="277"/>
      <c r="C355" s="277"/>
      <c r="D355" s="277"/>
      <c r="E355" s="277"/>
      <c r="F355" s="277"/>
      <c r="G355" s="277"/>
      <c r="H355" s="277"/>
      <c r="I355" s="277"/>
      <c r="J355" s="277"/>
      <c r="K355" s="277"/>
      <c r="L355" s="277"/>
      <c r="M355" s="277"/>
      <c r="N355" s="277"/>
      <c r="O355" s="277"/>
      <c r="P355" s="277"/>
      <c r="Q355" s="277"/>
      <c r="R355" s="277"/>
      <c r="S355" s="277"/>
      <c r="T355" s="277"/>
      <c r="U355" s="277"/>
      <c r="V355" s="1"/>
    </row>
    <row r="356" spans="1:22">
      <c r="A356" s="276"/>
      <c r="B356" s="277"/>
      <c r="C356" s="277"/>
      <c r="D356" s="277"/>
      <c r="E356" s="277"/>
      <c r="F356" s="277"/>
      <c r="G356" s="277"/>
      <c r="H356" s="277"/>
      <c r="I356" s="277"/>
      <c r="J356" s="277"/>
      <c r="K356" s="277"/>
      <c r="L356" s="277"/>
      <c r="M356" s="277"/>
      <c r="N356" s="277"/>
      <c r="O356" s="277"/>
      <c r="P356" s="277"/>
      <c r="Q356" s="277"/>
      <c r="R356" s="277"/>
      <c r="S356" s="277"/>
      <c r="T356" s="277"/>
      <c r="U356" s="277"/>
      <c r="V356" s="1"/>
    </row>
    <row r="357" spans="1:22">
      <c r="A357" s="276"/>
      <c r="B357" s="277"/>
      <c r="C357" s="277"/>
      <c r="D357" s="277"/>
      <c r="E357" s="277"/>
      <c r="F357" s="277"/>
      <c r="G357" s="277"/>
      <c r="H357" s="277"/>
      <c r="I357" s="277"/>
      <c r="J357" s="277"/>
      <c r="K357" s="277"/>
      <c r="L357" s="277"/>
      <c r="M357" s="277"/>
      <c r="N357" s="277"/>
      <c r="O357" s="277"/>
      <c r="P357" s="277"/>
      <c r="Q357" s="277"/>
      <c r="R357" s="277"/>
      <c r="S357" s="277"/>
      <c r="T357" s="277"/>
      <c r="U357" s="277"/>
      <c r="V357" s="1"/>
    </row>
    <row r="358" spans="1:22">
      <c r="A358" s="276"/>
      <c r="B358" s="277"/>
      <c r="C358" s="277"/>
      <c r="D358" s="277"/>
      <c r="E358" s="277"/>
      <c r="F358" s="277"/>
      <c r="G358" s="277"/>
      <c r="H358" s="277"/>
      <c r="I358" s="277"/>
      <c r="J358" s="277"/>
      <c r="K358" s="277"/>
      <c r="L358" s="277"/>
      <c r="M358" s="277"/>
      <c r="N358" s="277"/>
      <c r="O358" s="277"/>
      <c r="P358" s="277"/>
      <c r="Q358" s="277"/>
      <c r="R358" s="277"/>
      <c r="S358" s="277"/>
      <c r="T358" s="277"/>
      <c r="U358" s="277"/>
      <c r="V358" s="1"/>
    </row>
    <row r="359" spans="1:22">
      <c r="A359" s="276"/>
      <c r="B359" s="277"/>
      <c r="C359" s="277"/>
      <c r="D359" s="277"/>
      <c r="E359" s="277"/>
      <c r="F359" s="277"/>
      <c r="G359" s="277"/>
      <c r="H359" s="277"/>
      <c r="I359" s="277"/>
      <c r="J359" s="277"/>
      <c r="K359" s="277"/>
      <c r="L359" s="277"/>
      <c r="M359" s="277"/>
      <c r="N359" s="277"/>
      <c r="O359" s="277"/>
      <c r="P359" s="277"/>
      <c r="Q359" s="277"/>
      <c r="R359" s="277"/>
      <c r="S359" s="277"/>
      <c r="T359" s="277"/>
      <c r="U359" s="277"/>
      <c r="V359" s="1"/>
    </row>
  </sheetData>
  <mergeCells count="331">
    <mergeCell ref="A339:U339"/>
    <mergeCell ref="A340:U340"/>
    <mergeCell ref="A324:U324"/>
    <mergeCell ref="A327:U327"/>
    <mergeCell ref="A328:U328"/>
    <mergeCell ref="A329:U329"/>
    <mergeCell ref="A330:U330"/>
    <mergeCell ref="A331:U331"/>
    <mergeCell ref="A332:U332"/>
    <mergeCell ref="A333:U333"/>
    <mergeCell ref="A325:U325"/>
    <mergeCell ref="A326:U326"/>
    <mergeCell ref="A341:U341"/>
    <mergeCell ref="A342:U342"/>
    <mergeCell ref="A334:U334"/>
    <mergeCell ref="A335:U335"/>
    <mergeCell ref="A336:U336"/>
    <mergeCell ref="A337:U337"/>
    <mergeCell ref="A357:U357"/>
    <mergeCell ref="A358:U358"/>
    <mergeCell ref="A359:U359"/>
    <mergeCell ref="A343:U343"/>
    <mergeCell ref="A344:U344"/>
    <mergeCell ref="A345:U345"/>
    <mergeCell ref="A346:U346"/>
    <mergeCell ref="A347:U347"/>
    <mergeCell ref="A348:U348"/>
    <mergeCell ref="A349:U349"/>
    <mergeCell ref="A350:U350"/>
    <mergeCell ref="A351:U351"/>
    <mergeCell ref="A356:U356"/>
    <mergeCell ref="A352:U352"/>
    <mergeCell ref="A353:U353"/>
    <mergeCell ref="A354:U354"/>
    <mergeCell ref="A355:U355"/>
    <mergeCell ref="A338:U338"/>
    <mergeCell ref="A320:U320"/>
    <mergeCell ref="A321:U321"/>
    <mergeCell ref="A322:U322"/>
    <mergeCell ref="A323:U323"/>
    <mergeCell ref="A306:U306"/>
    <mergeCell ref="A307:U307"/>
    <mergeCell ref="A308:U308"/>
    <mergeCell ref="A309:U309"/>
    <mergeCell ref="A310:U310"/>
    <mergeCell ref="A311:U311"/>
    <mergeCell ref="A312:U312"/>
    <mergeCell ref="A313:U313"/>
    <mergeCell ref="A314:U314"/>
    <mergeCell ref="A315:U315"/>
    <mergeCell ref="A316:U316"/>
    <mergeCell ref="A317:U317"/>
    <mergeCell ref="A318:U318"/>
    <mergeCell ref="A319:U319"/>
    <mergeCell ref="A299:U299"/>
    <mergeCell ref="A292:U292"/>
    <mergeCell ref="A293:U293"/>
    <mergeCell ref="A300:U300"/>
    <mergeCell ref="A301:U301"/>
    <mergeCell ref="A302:U302"/>
    <mergeCell ref="A303:U303"/>
    <mergeCell ref="A304:U304"/>
    <mergeCell ref="A305:U305"/>
    <mergeCell ref="A288:U288"/>
    <mergeCell ref="A289:U289"/>
    <mergeCell ref="A290:U290"/>
    <mergeCell ref="A291:U291"/>
    <mergeCell ref="A294:U294"/>
    <mergeCell ref="A295:U295"/>
    <mergeCell ref="A296:U296"/>
    <mergeCell ref="A297:U297"/>
    <mergeCell ref="A298:U298"/>
    <mergeCell ref="A279:U279"/>
    <mergeCell ref="A280:U280"/>
    <mergeCell ref="A281:U281"/>
    <mergeCell ref="A282:U282"/>
    <mergeCell ref="A283:U283"/>
    <mergeCell ref="A284:U284"/>
    <mergeCell ref="A285:U285"/>
    <mergeCell ref="A286:U286"/>
    <mergeCell ref="A287:U287"/>
    <mergeCell ref="A270:U270"/>
    <mergeCell ref="A271:U271"/>
    <mergeCell ref="A272:U272"/>
    <mergeCell ref="A273:U273"/>
    <mergeCell ref="A274:U274"/>
    <mergeCell ref="A275:U275"/>
    <mergeCell ref="A276:U276"/>
    <mergeCell ref="A277:U277"/>
    <mergeCell ref="A278:U278"/>
    <mergeCell ref="A261:U261"/>
    <mergeCell ref="A262:U262"/>
    <mergeCell ref="A263:U263"/>
    <mergeCell ref="A264:U264"/>
    <mergeCell ref="A265:U265"/>
    <mergeCell ref="A266:U266"/>
    <mergeCell ref="A267:U267"/>
    <mergeCell ref="A268:U268"/>
    <mergeCell ref="A269:U269"/>
    <mergeCell ref="A193:U193"/>
    <mergeCell ref="A194:U194"/>
    <mergeCell ref="A195:U195"/>
    <mergeCell ref="A197:U197"/>
    <mergeCell ref="A198:U198"/>
    <mergeCell ref="A199:U199"/>
    <mergeCell ref="A200:U200"/>
    <mergeCell ref="A259:U259"/>
    <mergeCell ref="A260:U260"/>
    <mergeCell ref="A189:U189"/>
    <mergeCell ref="A190:U190"/>
    <mergeCell ref="A196:U196"/>
    <mergeCell ref="A169:U169"/>
    <mergeCell ref="A179:U179"/>
    <mergeCell ref="A185:U185"/>
    <mergeCell ref="A186:U186"/>
    <mergeCell ref="A187:U187"/>
    <mergeCell ref="A170:U170"/>
    <mergeCell ref="A171:U171"/>
    <mergeCell ref="A172:U172"/>
    <mergeCell ref="A173:U173"/>
    <mergeCell ref="A174:U174"/>
    <mergeCell ref="A175:U175"/>
    <mergeCell ref="A176:U176"/>
    <mergeCell ref="A177:U177"/>
    <mergeCell ref="A178:U178"/>
    <mergeCell ref="A180:U180"/>
    <mergeCell ref="A181:U181"/>
    <mergeCell ref="A182:U182"/>
    <mergeCell ref="A183:U183"/>
    <mergeCell ref="A184:U184"/>
    <mergeCell ref="A191:U191"/>
    <mergeCell ref="A192:U192"/>
    <mergeCell ref="A161:U161"/>
    <mergeCell ref="A162:U162"/>
    <mergeCell ref="A163:U163"/>
    <mergeCell ref="A164:U164"/>
    <mergeCell ref="A165:U165"/>
    <mergeCell ref="A166:U166"/>
    <mergeCell ref="A167:U167"/>
    <mergeCell ref="A168:U168"/>
    <mergeCell ref="A188:U188"/>
    <mergeCell ref="A145:U145"/>
    <mergeCell ref="A147:U147"/>
    <mergeCell ref="A148:U148"/>
    <mergeCell ref="A149:U149"/>
    <mergeCell ref="A150:U150"/>
    <mergeCell ref="A151:U151"/>
    <mergeCell ref="A158:U158"/>
    <mergeCell ref="A159:U159"/>
    <mergeCell ref="A160:U160"/>
    <mergeCell ref="A154:U154"/>
    <mergeCell ref="A155:U155"/>
    <mergeCell ref="A156:U156"/>
    <mergeCell ref="A157:U157"/>
    <mergeCell ref="A146:U146"/>
    <mergeCell ref="A152:U152"/>
    <mergeCell ref="A153:U153"/>
    <mergeCell ref="A143:U143"/>
    <mergeCell ref="A144:U144"/>
    <mergeCell ref="B91:E91"/>
    <mergeCell ref="A101:E101"/>
    <mergeCell ref="B102:E102"/>
    <mergeCell ref="B103:E103"/>
    <mergeCell ref="B104:E104"/>
    <mergeCell ref="A113:B113"/>
    <mergeCell ref="A114:B114"/>
    <mergeCell ref="A115:B115"/>
    <mergeCell ref="B105:E105"/>
    <mergeCell ref="B106:E106"/>
    <mergeCell ref="B107:E107"/>
    <mergeCell ref="B108:E108"/>
    <mergeCell ref="A109:E109"/>
    <mergeCell ref="B110:E110"/>
    <mergeCell ref="B111:E111"/>
    <mergeCell ref="B112:E112"/>
    <mergeCell ref="A126:P126"/>
    <mergeCell ref="A127:P127"/>
    <mergeCell ref="A128:P128"/>
    <mergeCell ref="A129:P129"/>
    <mergeCell ref="A138:U138"/>
    <mergeCell ref="A139:U139"/>
    <mergeCell ref="A140:U140"/>
    <mergeCell ref="A141:U141"/>
    <mergeCell ref="A142:U142"/>
    <mergeCell ref="A135:U135"/>
    <mergeCell ref="A136:U136"/>
    <mergeCell ref="B116:E116"/>
    <mergeCell ref="A117:E117"/>
    <mergeCell ref="B118:E118"/>
    <mergeCell ref="A119:B119"/>
    <mergeCell ref="C119:E119"/>
    <mergeCell ref="B120:E120"/>
    <mergeCell ref="B89:E89"/>
    <mergeCell ref="D90:E90"/>
    <mergeCell ref="A137:U137"/>
    <mergeCell ref="C113:E113"/>
    <mergeCell ref="C114:E114"/>
    <mergeCell ref="C115:E115"/>
    <mergeCell ref="B96:E96"/>
    <mergeCell ref="D97:E97"/>
    <mergeCell ref="B98:E98"/>
    <mergeCell ref="D99:E99"/>
    <mergeCell ref="B92:E92"/>
    <mergeCell ref="D93:E93"/>
    <mergeCell ref="B94:E94"/>
    <mergeCell ref="D95:E95"/>
    <mergeCell ref="A121:E121"/>
    <mergeCell ref="B122:E122"/>
    <mergeCell ref="B123:E123"/>
    <mergeCell ref="B124:E124"/>
    <mergeCell ref="A7:C7"/>
    <mergeCell ref="D7:E7"/>
    <mergeCell ref="D8:E8"/>
    <mergeCell ref="B9:E9"/>
    <mergeCell ref="A10:E10"/>
    <mergeCell ref="A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E17"/>
    <mergeCell ref="B71:E71"/>
    <mergeCell ref="J10:P10"/>
    <mergeCell ref="B11:C11"/>
    <mergeCell ref="D11:E11"/>
    <mergeCell ref="B12:C12"/>
    <mergeCell ref="D12:E12"/>
    <mergeCell ref="B13:C13"/>
    <mergeCell ref="D13:E13"/>
    <mergeCell ref="A34:E34"/>
    <mergeCell ref="A35:E35"/>
    <mergeCell ref="J25:J26"/>
    <mergeCell ref="L25:L26"/>
    <mergeCell ref="O25:O26"/>
    <mergeCell ref="P25:P26"/>
    <mergeCell ref="D21:E21"/>
    <mergeCell ref="B22:E22"/>
    <mergeCell ref="C23:E23"/>
    <mergeCell ref="J23:P23"/>
    <mergeCell ref="A25:A26"/>
    <mergeCell ref="B25:D26"/>
    <mergeCell ref="F25:F26"/>
    <mergeCell ref="G25:G26"/>
    <mergeCell ref="H25:H26"/>
    <mergeCell ref="I25:I26"/>
    <mergeCell ref="B72:E72"/>
    <mergeCell ref="B73:E73"/>
    <mergeCell ref="B76:E76"/>
    <mergeCell ref="B77:E77"/>
    <mergeCell ref="B78:E78"/>
    <mergeCell ref="B88:E88"/>
    <mergeCell ref="B86:E86"/>
    <mergeCell ref="D87:E87"/>
    <mergeCell ref="B79:E79"/>
    <mergeCell ref="B80:E80"/>
    <mergeCell ref="B81:C81"/>
    <mergeCell ref="B82:C82"/>
    <mergeCell ref="B84:C84"/>
    <mergeCell ref="B85:C85"/>
    <mergeCell ref="D81:E81"/>
    <mergeCell ref="B83:E83"/>
    <mergeCell ref="D84:E84"/>
    <mergeCell ref="B58:E58"/>
    <mergeCell ref="B59:E59"/>
    <mergeCell ref="A70:E70"/>
    <mergeCell ref="B60:E60"/>
    <mergeCell ref="B62:E62"/>
    <mergeCell ref="B61:E61"/>
    <mergeCell ref="B63:E63"/>
    <mergeCell ref="B64:E64"/>
    <mergeCell ref="C65:E65"/>
    <mergeCell ref="B66:E66"/>
    <mergeCell ref="C67:E67"/>
    <mergeCell ref="A68:E68"/>
    <mergeCell ref="A69:E69"/>
    <mergeCell ref="A57:E57"/>
    <mergeCell ref="K25:K26"/>
    <mergeCell ref="C36:E36"/>
    <mergeCell ref="B27:C27"/>
    <mergeCell ref="D27:E27"/>
    <mergeCell ref="B28:C28"/>
    <mergeCell ref="D28:E28"/>
    <mergeCell ref="B29:D29"/>
    <mergeCell ref="B33:E33"/>
    <mergeCell ref="C30:E30"/>
    <mergeCell ref="B31:D31"/>
    <mergeCell ref="B32:D32"/>
    <mergeCell ref="A40:B40"/>
    <mergeCell ref="C40:E40"/>
    <mergeCell ref="A37:B37"/>
    <mergeCell ref="A38:B38"/>
    <mergeCell ref="C38:E38"/>
    <mergeCell ref="A39:B39"/>
    <mergeCell ref="C39:D39"/>
    <mergeCell ref="C37:D37"/>
    <mergeCell ref="A36:B36"/>
    <mergeCell ref="A41:B41"/>
    <mergeCell ref="A42:B42"/>
    <mergeCell ref="C42:E42"/>
    <mergeCell ref="A56:E56"/>
    <mergeCell ref="A52:E52"/>
    <mergeCell ref="C48:D48"/>
    <mergeCell ref="C41:D41"/>
    <mergeCell ref="A43:B43"/>
    <mergeCell ref="C43:D43"/>
    <mergeCell ref="A44:D44"/>
    <mergeCell ref="A46:C46"/>
    <mergeCell ref="D46:E46"/>
    <mergeCell ref="B45:E45"/>
    <mergeCell ref="C47:E47"/>
    <mergeCell ref="C49:D49"/>
    <mergeCell ref="C50:D50"/>
    <mergeCell ref="Q25:Q26"/>
    <mergeCell ref="N25:N26"/>
    <mergeCell ref="W25:W26"/>
    <mergeCell ref="X25:X26"/>
    <mergeCell ref="Y25:Y26"/>
    <mergeCell ref="Z25:Z26"/>
    <mergeCell ref="A53:E53"/>
    <mergeCell ref="A54:E54"/>
    <mergeCell ref="A55:E55"/>
    <mergeCell ref="M25:M26"/>
    <mergeCell ref="S25:S26"/>
    <mergeCell ref="T25:T26"/>
    <mergeCell ref="U25:U26"/>
    <mergeCell ref="V25:V26"/>
    <mergeCell ref="R25:R26"/>
  </mergeCells>
  <printOptions horizontalCentered="1"/>
  <pageMargins left="0" right="0" top="0.19685039370078741" bottom="0.39370078740157483" header="0.11811023622047245" footer="0.11811023622047245"/>
  <pageSetup paperSize="9" scale="67" firstPageNumber="5" orientation="landscape" useFirstPageNumber="1" horizont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70"/>
  <sheetViews>
    <sheetView workbookViewId="0">
      <pane xSplit="5" ySplit="9" topLeftCell="F229" activePane="bottomRight" state="frozen"/>
      <selection pane="topRight" activeCell="F1" sqref="F1"/>
      <selection pane="bottomLeft" activeCell="A10" sqref="A10"/>
      <selection pane="bottomRight" activeCell="M14" sqref="M14"/>
    </sheetView>
  </sheetViews>
  <sheetFormatPr defaultRowHeight="15"/>
  <cols>
    <col min="2" max="2" width="80" customWidth="1"/>
    <col min="3" max="3" width="15.5703125" customWidth="1"/>
    <col min="4" max="5" width="5.28515625" customWidth="1"/>
    <col min="6" max="6" width="12" customWidth="1"/>
    <col min="7" max="7" width="11" style="212" hidden="1" customWidth="1"/>
    <col min="8" max="8" width="10.42578125" customWidth="1"/>
    <col min="9" max="10" width="10" customWidth="1"/>
    <col min="11" max="11" width="9" hidden="1" customWidth="1"/>
    <col min="12" max="12" width="12.85546875" customWidth="1"/>
  </cols>
  <sheetData>
    <row r="1" spans="1:12">
      <c r="A1" s="180"/>
      <c r="B1" s="177"/>
      <c r="C1" s="177"/>
      <c r="D1" s="177"/>
      <c r="E1" s="177"/>
      <c r="F1" s="177"/>
      <c r="G1" s="34"/>
      <c r="H1" s="181" t="s">
        <v>218</v>
      </c>
      <c r="I1" s="147"/>
      <c r="J1" s="147"/>
      <c r="K1" s="177"/>
      <c r="L1" s="177"/>
    </row>
    <row r="2" spans="1:12">
      <c r="A2" s="180"/>
      <c r="B2" s="177"/>
      <c r="C2" s="177"/>
      <c r="D2" s="177"/>
      <c r="E2" s="177"/>
      <c r="F2" s="177"/>
      <c r="G2" s="34"/>
      <c r="H2" s="141" t="s">
        <v>585</v>
      </c>
      <c r="I2" s="236"/>
      <c r="J2" s="147"/>
      <c r="K2" s="177"/>
      <c r="L2" s="177"/>
    </row>
    <row r="3" spans="1:12">
      <c r="A3" s="180"/>
      <c r="B3" s="177"/>
      <c r="C3" s="177"/>
      <c r="D3" s="177"/>
      <c r="E3" s="177"/>
      <c r="F3" s="177"/>
      <c r="G3" s="34"/>
      <c r="H3" s="141" t="s">
        <v>219</v>
      </c>
      <c r="I3" s="236"/>
      <c r="J3" s="147"/>
      <c r="K3" s="177"/>
      <c r="L3" s="177"/>
    </row>
    <row r="4" spans="1:12">
      <c r="A4" s="180"/>
      <c r="B4" s="180" t="s">
        <v>581</v>
      </c>
      <c r="C4" s="177"/>
      <c r="D4" s="177"/>
      <c r="E4" s="177"/>
      <c r="F4" s="177"/>
      <c r="G4" s="34"/>
      <c r="H4" s="141" t="s">
        <v>586</v>
      </c>
      <c r="I4" s="236"/>
      <c r="J4" s="147"/>
      <c r="K4" s="177"/>
      <c r="L4" s="177"/>
    </row>
    <row r="5" spans="1:12" ht="11.25" customHeight="1">
      <c r="A5" s="177"/>
      <c r="B5" s="177"/>
      <c r="C5" s="177"/>
      <c r="D5" s="177"/>
      <c r="E5" s="177"/>
      <c r="F5" s="177"/>
      <c r="G5" s="34"/>
      <c r="H5" s="177"/>
      <c r="I5" s="177"/>
      <c r="J5" s="177"/>
      <c r="K5" s="177"/>
      <c r="L5" s="177" t="s">
        <v>111</v>
      </c>
    </row>
    <row r="6" spans="1:12" ht="15" customHeight="1">
      <c r="A6" s="315" t="s">
        <v>220</v>
      </c>
      <c r="B6" s="315" t="s">
        <v>221</v>
      </c>
      <c r="C6" s="308" t="s">
        <v>582</v>
      </c>
      <c r="D6" s="311" t="s">
        <v>583</v>
      </c>
      <c r="E6" s="312"/>
      <c r="F6" s="182"/>
      <c r="G6" s="183"/>
      <c r="H6" s="311" t="s">
        <v>584</v>
      </c>
      <c r="I6" s="325"/>
      <c r="J6" s="325"/>
      <c r="K6" s="230"/>
      <c r="L6" s="308" t="s">
        <v>222</v>
      </c>
    </row>
    <row r="7" spans="1:12" ht="45">
      <c r="A7" s="315"/>
      <c r="B7" s="315"/>
      <c r="C7" s="309"/>
      <c r="D7" s="313"/>
      <c r="E7" s="314"/>
      <c r="F7" s="184" t="s">
        <v>223</v>
      </c>
      <c r="G7" s="185" t="s">
        <v>224</v>
      </c>
      <c r="H7" s="313"/>
      <c r="I7" s="326"/>
      <c r="J7" s="326"/>
      <c r="K7" s="231"/>
      <c r="L7" s="309"/>
    </row>
    <row r="8" spans="1:12">
      <c r="A8" s="315"/>
      <c r="B8" s="315"/>
      <c r="C8" s="309"/>
      <c r="D8" s="315" t="s">
        <v>225</v>
      </c>
      <c r="E8" s="315" t="s">
        <v>226</v>
      </c>
      <c r="F8" s="186"/>
      <c r="G8" s="187"/>
      <c r="H8" s="315" t="s">
        <v>227</v>
      </c>
      <c r="I8" s="315" t="s">
        <v>228</v>
      </c>
      <c r="J8" s="315" t="s">
        <v>229</v>
      </c>
      <c r="K8" s="308" t="s">
        <v>230</v>
      </c>
      <c r="L8" s="309"/>
    </row>
    <row r="9" spans="1:12">
      <c r="A9" s="315"/>
      <c r="B9" s="315"/>
      <c r="C9" s="310"/>
      <c r="D9" s="315"/>
      <c r="E9" s="315"/>
      <c r="F9" s="188"/>
      <c r="G9" s="189"/>
      <c r="H9" s="315"/>
      <c r="I9" s="315"/>
      <c r="J9" s="315"/>
      <c r="K9" s="310"/>
      <c r="L9" s="310"/>
    </row>
    <row r="10" spans="1:12">
      <c r="A10" s="190">
        <v>1</v>
      </c>
      <c r="B10" s="190">
        <v>2</v>
      </c>
      <c r="C10" s="190">
        <v>3</v>
      </c>
      <c r="D10" s="190">
        <v>4</v>
      </c>
      <c r="E10" s="190">
        <v>5</v>
      </c>
      <c r="F10" s="191">
        <v>6</v>
      </c>
      <c r="G10" s="191"/>
      <c r="H10" s="191">
        <v>7</v>
      </c>
      <c r="I10" s="191">
        <v>8</v>
      </c>
      <c r="J10" s="191">
        <v>9</v>
      </c>
      <c r="K10" s="191">
        <v>11</v>
      </c>
      <c r="L10" s="191">
        <v>10</v>
      </c>
    </row>
    <row r="11" spans="1:12" s="192" customFormat="1">
      <c r="A11" s="179" t="s">
        <v>231</v>
      </c>
      <c r="B11" s="241" t="s">
        <v>232</v>
      </c>
      <c r="C11" s="241"/>
      <c r="D11" s="241"/>
      <c r="E11" s="241"/>
      <c r="F11" s="65">
        <f>F12+F13</f>
        <v>199597435.84</v>
      </c>
      <c r="G11" s="67">
        <f>G12+G13</f>
        <v>85520510.840000004</v>
      </c>
      <c r="H11" s="65">
        <f t="shared" ref="H11:L11" si="0">H12+H13</f>
        <v>78700302</v>
      </c>
      <c r="I11" s="65">
        <f>I12+I13</f>
        <v>29044321</v>
      </c>
      <c r="J11" s="65">
        <f>J12+J13</f>
        <v>6332302</v>
      </c>
      <c r="K11" s="65">
        <f>K12+K13</f>
        <v>0</v>
      </c>
      <c r="L11" s="65">
        <f t="shared" si="0"/>
        <v>69264706</v>
      </c>
    </row>
    <row r="12" spans="1:12" s="192" customFormat="1">
      <c r="A12" s="178" t="s">
        <v>233</v>
      </c>
      <c r="B12" s="257" t="s">
        <v>234</v>
      </c>
      <c r="C12" s="257"/>
      <c r="D12" s="257"/>
      <c r="E12" s="257"/>
      <c r="F12" s="193">
        <f>F15</f>
        <v>8195336</v>
      </c>
      <c r="G12" s="194">
        <f t="shared" ref="G12:L12" si="1">G15</f>
        <v>1363823</v>
      </c>
      <c r="H12" s="193">
        <f t="shared" si="1"/>
        <v>3518734</v>
      </c>
      <c r="I12" s="193">
        <f>I15</f>
        <v>1980477</v>
      </c>
      <c r="J12" s="193">
        <f>J15</f>
        <v>1332302</v>
      </c>
      <c r="K12" s="193">
        <f>K15</f>
        <v>0</v>
      </c>
      <c r="L12" s="193">
        <f t="shared" si="1"/>
        <v>6140258</v>
      </c>
    </row>
    <row r="13" spans="1:12" s="192" customFormat="1">
      <c r="A13" s="178" t="s">
        <v>235</v>
      </c>
      <c r="B13" s="257" t="s">
        <v>236</v>
      </c>
      <c r="C13" s="257"/>
      <c r="D13" s="257"/>
      <c r="E13" s="257"/>
      <c r="F13" s="193">
        <f t="shared" ref="F13:L13" si="2">F106+F64</f>
        <v>191402099.84</v>
      </c>
      <c r="G13" s="193">
        <f t="shared" si="2"/>
        <v>84156687.840000004</v>
      </c>
      <c r="H13" s="193">
        <f t="shared" si="2"/>
        <v>75181568</v>
      </c>
      <c r="I13" s="193">
        <f t="shared" si="2"/>
        <v>27063844</v>
      </c>
      <c r="J13" s="193">
        <f t="shared" si="2"/>
        <v>5000000</v>
      </c>
      <c r="K13" s="193">
        <f t="shared" si="2"/>
        <v>0</v>
      </c>
      <c r="L13" s="193">
        <f t="shared" si="2"/>
        <v>63124448</v>
      </c>
    </row>
    <row r="14" spans="1:12" s="192" customFormat="1" ht="31.5" customHeight="1">
      <c r="A14" s="195" t="s">
        <v>1</v>
      </c>
      <c r="B14" s="317" t="s">
        <v>237</v>
      </c>
      <c r="C14" s="318"/>
      <c r="D14" s="318"/>
      <c r="E14" s="319"/>
      <c r="F14" s="196">
        <f t="shared" ref="F14:L14" si="3">F15+F64</f>
        <v>47257821</v>
      </c>
      <c r="G14" s="196">
        <f t="shared" si="3"/>
        <v>5569672</v>
      </c>
      <c r="H14" s="196">
        <f t="shared" si="3"/>
        <v>37306526</v>
      </c>
      <c r="I14" s="196">
        <f t="shared" si="3"/>
        <v>3049321</v>
      </c>
      <c r="J14" s="196">
        <f t="shared" si="3"/>
        <v>1332302</v>
      </c>
      <c r="K14" s="196">
        <f t="shared" si="3"/>
        <v>0</v>
      </c>
      <c r="L14" s="196">
        <f t="shared" si="3"/>
        <v>9451409</v>
      </c>
    </row>
    <row r="15" spans="1:12" s="198" customFormat="1">
      <c r="A15" s="195" t="s">
        <v>3</v>
      </c>
      <c r="B15" s="320" t="s">
        <v>234</v>
      </c>
      <c r="C15" s="320"/>
      <c r="D15" s="320"/>
      <c r="E15" s="320"/>
      <c r="F15" s="197">
        <f>SUM(F16:F63)</f>
        <v>8195336</v>
      </c>
      <c r="G15" s="197">
        <f t="shared" ref="G15:L15" si="4">SUM(G16:G63)</f>
        <v>1363823</v>
      </c>
      <c r="H15" s="197">
        <f t="shared" si="4"/>
        <v>3518734</v>
      </c>
      <c r="I15" s="197">
        <f t="shared" si="4"/>
        <v>1980477</v>
      </c>
      <c r="J15" s="197">
        <f t="shared" si="4"/>
        <v>1332302</v>
      </c>
      <c r="K15" s="197">
        <f t="shared" si="4"/>
        <v>0</v>
      </c>
      <c r="L15" s="197">
        <f t="shared" si="4"/>
        <v>6140258</v>
      </c>
    </row>
    <row r="16" spans="1:12" s="203" customFormat="1" ht="17.25" customHeight="1">
      <c r="A16" s="283" t="s">
        <v>534</v>
      </c>
      <c r="B16" s="199" t="s">
        <v>240</v>
      </c>
      <c r="C16" s="285" t="s">
        <v>241</v>
      </c>
      <c r="D16" s="316">
        <v>2016</v>
      </c>
      <c r="E16" s="302">
        <v>2018</v>
      </c>
      <c r="F16" s="288">
        <f>G16+H16+I16+J16</f>
        <v>376718</v>
      </c>
      <c r="G16" s="294">
        <f>0+240448</f>
        <v>240448</v>
      </c>
      <c r="H16" s="288">
        <v>136270</v>
      </c>
      <c r="I16" s="288">
        <v>0</v>
      </c>
      <c r="J16" s="288">
        <v>0</v>
      </c>
      <c r="K16" s="288">
        <v>0</v>
      </c>
      <c r="L16" s="288">
        <v>0</v>
      </c>
    </row>
    <row r="17" spans="1:12" s="203" customFormat="1" ht="49.5" customHeight="1">
      <c r="A17" s="284"/>
      <c r="B17" s="201" t="s">
        <v>242</v>
      </c>
      <c r="C17" s="286"/>
      <c r="D17" s="287"/>
      <c r="E17" s="303"/>
      <c r="F17" s="289"/>
      <c r="G17" s="295"/>
      <c r="H17" s="289"/>
      <c r="I17" s="289"/>
      <c r="J17" s="289"/>
      <c r="K17" s="289"/>
      <c r="L17" s="289"/>
    </row>
    <row r="18" spans="1:12" s="203" customFormat="1" ht="18" customHeight="1">
      <c r="A18" s="283" t="s">
        <v>535</v>
      </c>
      <c r="B18" s="199" t="s">
        <v>244</v>
      </c>
      <c r="C18" s="285" t="s">
        <v>245</v>
      </c>
      <c r="D18" s="316">
        <v>2016</v>
      </c>
      <c r="E18" s="302">
        <v>2018</v>
      </c>
      <c r="F18" s="288">
        <f t="shared" ref="F18" si="5">G18+H18+I18+J18</f>
        <v>92424</v>
      </c>
      <c r="G18" s="294">
        <f>65526</f>
        <v>65526</v>
      </c>
      <c r="H18" s="294">
        <f>26898</f>
        <v>26898</v>
      </c>
      <c r="I18" s="294">
        <v>0</v>
      </c>
      <c r="J18" s="294">
        <v>0</v>
      </c>
      <c r="K18" s="294">
        <v>0</v>
      </c>
      <c r="L18" s="294">
        <v>0</v>
      </c>
    </row>
    <row r="19" spans="1:12" s="203" customFormat="1" ht="33.75" customHeight="1">
      <c r="A19" s="284"/>
      <c r="B19" s="201" t="s">
        <v>246</v>
      </c>
      <c r="C19" s="286"/>
      <c r="D19" s="287"/>
      <c r="E19" s="303"/>
      <c r="F19" s="289"/>
      <c r="G19" s="295"/>
      <c r="H19" s="295"/>
      <c r="I19" s="295"/>
      <c r="J19" s="295"/>
      <c r="K19" s="295"/>
      <c r="L19" s="295"/>
    </row>
    <row r="20" spans="1:12" s="203" customFormat="1" ht="16.5" customHeight="1">
      <c r="A20" s="283" t="s">
        <v>536</v>
      </c>
      <c r="B20" s="199" t="s">
        <v>248</v>
      </c>
      <c r="C20" s="285" t="s">
        <v>249</v>
      </c>
      <c r="D20" s="321">
        <v>2016</v>
      </c>
      <c r="E20" s="323">
        <v>2018</v>
      </c>
      <c r="F20" s="288">
        <f t="shared" ref="F20" si="6">G20+H20+I20+J20</f>
        <v>70040</v>
      </c>
      <c r="G20" s="294">
        <f>0+45188</f>
        <v>45188</v>
      </c>
      <c r="H20" s="294">
        <f>20472+4020+360</f>
        <v>24852</v>
      </c>
      <c r="I20" s="294">
        <v>0</v>
      </c>
      <c r="J20" s="294">
        <v>0</v>
      </c>
      <c r="K20" s="294">
        <v>0</v>
      </c>
      <c r="L20" s="294">
        <v>0</v>
      </c>
    </row>
    <row r="21" spans="1:12" s="203" customFormat="1" ht="33" customHeight="1">
      <c r="A21" s="284"/>
      <c r="B21" s="201" t="s">
        <v>250</v>
      </c>
      <c r="C21" s="286"/>
      <c r="D21" s="322"/>
      <c r="E21" s="324"/>
      <c r="F21" s="289"/>
      <c r="G21" s="295"/>
      <c r="H21" s="295"/>
      <c r="I21" s="295"/>
      <c r="J21" s="295"/>
      <c r="K21" s="295"/>
      <c r="L21" s="295"/>
    </row>
    <row r="22" spans="1:12" s="204" customFormat="1" ht="17.25" customHeight="1">
      <c r="A22" s="283" t="s">
        <v>537</v>
      </c>
      <c r="B22" s="202" t="s">
        <v>275</v>
      </c>
      <c r="C22" s="285" t="s">
        <v>276</v>
      </c>
      <c r="D22" s="266">
        <v>2017</v>
      </c>
      <c r="E22" s="266">
        <v>2019</v>
      </c>
      <c r="F22" s="288">
        <f t="shared" ref="F22" si="7">G22+H22+I22+J22</f>
        <v>209199</v>
      </c>
      <c r="G22" s="290">
        <f>0+22200+13400</f>
        <v>35600</v>
      </c>
      <c r="H22" s="288">
        <f>191498-9499-13400</f>
        <v>168599</v>
      </c>
      <c r="I22" s="288">
        <v>5000</v>
      </c>
      <c r="J22" s="288">
        <v>0</v>
      </c>
      <c r="K22" s="288">
        <v>0</v>
      </c>
      <c r="L22" s="288">
        <v>173599</v>
      </c>
    </row>
    <row r="23" spans="1:12" s="204" customFormat="1" ht="45" customHeight="1">
      <c r="A23" s="284"/>
      <c r="B23" s="201" t="s">
        <v>277</v>
      </c>
      <c r="C23" s="286"/>
      <c r="D23" s="287"/>
      <c r="E23" s="287"/>
      <c r="F23" s="289"/>
      <c r="G23" s="291"/>
      <c r="H23" s="289"/>
      <c r="I23" s="289"/>
      <c r="J23" s="289"/>
      <c r="K23" s="289"/>
      <c r="L23" s="289"/>
    </row>
    <row r="24" spans="1:12" s="204" customFormat="1" ht="17.25" customHeight="1">
      <c r="A24" s="283" t="s">
        <v>538</v>
      </c>
      <c r="B24" s="202" t="s">
        <v>469</v>
      </c>
      <c r="C24" s="285" t="s">
        <v>470</v>
      </c>
      <c r="D24" s="266">
        <v>2017</v>
      </c>
      <c r="E24" s="266">
        <v>2019</v>
      </c>
      <c r="F24" s="288">
        <f t="shared" ref="F24" si="8">G24+H24+I24+J24</f>
        <v>50826</v>
      </c>
      <c r="G24" s="290">
        <f>0+8000</f>
        <v>8000</v>
      </c>
      <c r="H24" s="288">
        <f>32245+681</f>
        <v>32926</v>
      </c>
      <c r="I24" s="288">
        <v>9900</v>
      </c>
      <c r="J24" s="288">
        <v>0</v>
      </c>
      <c r="K24" s="288">
        <v>0</v>
      </c>
      <c r="L24" s="288">
        <v>42826</v>
      </c>
    </row>
    <row r="25" spans="1:12" s="204" customFormat="1" ht="44.25" customHeight="1">
      <c r="A25" s="284"/>
      <c r="B25" s="201" t="s">
        <v>471</v>
      </c>
      <c r="C25" s="286"/>
      <c r="D25" s="287"/>
      <c r="E25" s="287"/>
      <c r="F25" s="289"/>
      <c r="G25" s="291"/>
      <c r="H25" s="289"/>
      <c r="I25" s="289"/>
      <c r="J25" s="289"/>
      <c r="K25" s="289"/>
      <c r="L25" s="289"/>
    </row>
    <row r="26" spans="1:12" s="203" customFormat="1" ht="30.75" customHeight="1">
      <c r="A26" s="283" t="s">
        <v>239</v>
      </c>
      <c r="B26" s="199" t="s">
        <v>254</v>
      </c>
      <c r="C26" s="285" t="s">
        <v>249</v>
      </c>
      <c r="D26" s="316">
        <v>2016</v>
      </c>
      <c r="E26" s="302">
        <v>2018</v>
      </c>
      <c r="F26" s="288">
        <f t="shared" ref="F26" si="9">G26+H26+I26+J26</f>
        <v>246816</v>
      </c>
      <c r="G26" s="294">
        <f>0+6372+118272</f>
        <v>124644</v>
      </c>
      <c r="H26" s="294">
        <f>116812+5360</f>
        <v>122172</v>
      </c>
      <c r="I26" s="294">
        <v>0</v>
      </c>
      <c r="J26" s="294">
        <v>0</v>
      </c>
      <c r="K26" s="294">
        <v>0</v>
      </c>
      <c r="L26" s="294">
        <v>0</v>
      </c>
    </row>
    <row r="27" spans="1:12" s="203" customFormat="1" ht="32.25" customHeight="1">
      <c r="A27" s="284"/>
      <c r="B27" s="201" t="s">
        <v>255</v>
      </c>
      <c r="C27" s="286"/>
      <c r="D27" s="287"/>
      <c r="E27" s="303"/>
      <c r="F27" s="289"/>
      <c r="G27" s="295"/>
      <c r="H27" s="295"/>
      <c r="I27" s="295"/>
      <c r="J27" s="295"/>
      <c r="K27" s="295"/>
      <c r="L27" s="295"/>
    </row>
    <row r="28" spans="1:12" s="203" customFormat="1" ht="29.25" customHeight="1">
      <c r="A28" s="283" t="s">
        <v>243</v>
      </c>
      <c r="B28" s="199" t="s">
        <v>257</v>
      </c>
      <c r="C28" s="285" t="s">
        <v>241</v>
      </c>
      <c r="D28" s="316">
        <v>2016</v>
      </c>
      <c r="E28" s="302">
        <v>2018</v>
      </c>
      <c r="F28" s="288">
        <f t="shared" ref="F28" si="10">G28+H28+I28+J28</f>
        <v>117296</v>
      </c>
      <c r="G28" s="294">
        <f>0+6070-1568+95545</f>
        <v>100047</v>
      </c>
      <c r="H28" s="294">
        <v>17249</v>
      </c>
      <c r="I28" s="294">
        <v>0</v>
      </c>
      <c r="J28" s="294">
        <v>0</v>
      </c>
      <c r="K28" s="294">
        <v>0</v>
      </c>
      <c r="L28" s="294">
        <v>0</v>
      </c>
    </row>
    <row r="29" spans="1:12" s="203" customFormat="1" ht="45.75" customHeight="1">
      <c r="A29" s="284"/>
      <c r="B29" s="201" t="s">
        <v>258</v>
      </c>
      <c r="C29" s="286"/>
      <c r="D29" s="287"/>
      <c r="E29" s="303"/>
      <c r="F29" s="289"/>
      <c r="G29" s="295"/>
      <c r="H29" s="295"/>
      <c r="I29" s="295"/>
      <c r="J29" s="295"/>
      <c r="K29" s="295"/>
      <c r="L29" s="295"/>
    </row>
    <row r="30" spans="1:12" s="204" customFormat="1" ht="27.75" customHeight="1">
      <c r="A30" s="283" t="s">
        <v>247</v>
      </c>
      <c r="B30" s="202" t="s">
        <v>488</v>
      </c>
      <c r="C30" s="285" t="s">
        <v>252</v>
      </c>
      <c r="D30" s="266">
        <v>2017</v>
      </c>
      <c r="E30" s="266">
        <v>2019</v>
      </c>
      <c r="F30" s="288">
        <f t="shared" ref="F30" si="11">G30+H30+I30+J30</f>
        <v>643612</v>
      </c>
      <c r="G30" s="290">
        <f>0+11000+220</f>
        <v>11220</v>
      </c>
      <c r="H30" s="288">
        <v>315883</v>
      </c>
      <c r="I30" s="288">
        <v>316509</v>
      </c>
      <c r="J30" s="288">
        <v>0</v>
      </c>
      <c r="K30" s="288">
        <v>0</v>
      </c>
      <c r="L30" s="288">
        <v>632392</v>
      </c>
    </row>
    <row r="31" spans="1:12" s="204" customFormat="1" ht="36.75" customHeight="1">
      <c r="A31" s="284"/>
      <c r="B31" s="201" t="s">
        <v>492</v>
      </c>
      <c r="C31" s="286"/>
      <c r="D31" s="287"/>
      <c r="E31" s="287"/>
      <c r="F31" s="289"/>
      <c r="G31" s="291"/>
      <c r="H31" s="289"/>
      <c r="I31" s="289"/>
      <c r="J31" s="289"/>
      <c r="K31" s="289"/>
      <c r="L31" s="289"/>
    </row>
    <row r="32" spans="1:12" s="204" customFormat="1" ht="15.75" customHeight="1">
      <c r="A32" s="283" t="s">
        <v>251</v>
      </c>
      <c r="B32" s="202" t="s">
        <v>494</v>
      </c>
      <c r="C32" s="285" t="s">
        <v>241</v>
      </c>
      <c r="D32" s="266">
        <v>2017</v>
      </c>
      <c r="E32" s="266">
        <v>2019</v>
      </c>
      <c r="F32" s="288">
        <f t="shared" ref="F32" si="12">G32+H32+I32+J32</f>
        <v>360609</v>
      </c>
      <c r="G32" s="290">
        <v>0</v>
      </c>
      <c r="H32" s="288">
        <v>247409</v>
      </c>
      <c r="I32" s="288">
        <v>113200</v>
      </c>
      <c r="J32" s="288">
        <v>0</v>
      </c>
      <c r="K32" s="288">
        <v>0</v>
      </c>
      <c r="L32" s="288">
        <v>360609</v>
      </c>
    </row>
    <row r="33" spans="1:12" s="204" customFormat="1" ht="18" customHeight="1">
      <c r="A33" s="284"/>
      <c r="B33" s="201" t="s">
        <v>511</v>
      </c>
      <c r="C33" s="286"/>
      <c r="D33" s="287"/>
      <c r="E33" s="287"/>
      <c r="F33" s="289"/>
      <c r="G33" s="291"/>
      <c r="H33" s="289"/>
      <c r="I33" s="289"/>
      <c r="J33" s="289"/>
      <c r="K33" s="289"/>
      <c r="L33" s="289"/>
    </row>
    <row r="34" spans="1:12" s="204" customFormat="1" ht="16.5" customHeight="1">
      <c r="A34" s="283" t="s">
        <v>539</v>
      </c>
      <c r="B34" s="202" t="s">
        <v>495</v>
      </c>
      <c r="C34" s="285" t="s">
        <v>496</v>
      </c>
      <c r="D34" s="266">
        <v>2017</v>
      </c>
      <c r="E34" s="266">
        <v>2019</v>
      </c>
      <c r="F34" s="288">
        <f t="shared" ref="F34" si="13">G34+H34+I34+J34</f>
        <v>118231</v>
      </c>
      <c r="G34" s="290">
        <f>0+2650</f>
        <v>2650</v>
      </c>
      <c r="H34" s="288">
        <v>69257</v>
      </c>
      <c r="I34" s="288">
        <v>46324</v>
      </c>
      <c r="J34" s="288">
        <v>0</v>
      </c>
      <c r="K34" s="288">
        <v>0</v>
      </c>
      <c r="L34" s="288">
        <v>115581</v>
      </c>
    </row>
    <row r="35" spans="1:12" s="204" customFormat="1" ht="32.25" customHeight="1">
      <c r="A35" s="284"/>
      <c r="B35" s="201" t="s">
        <v>512</v>
      </c>
      <c r="C35" s="286"/>
      <c r="D35" s="287"/>
      <c r="E35" s="287"/>
      <c r="F35" s="289"/>
      <c r="G35" s="291"/>
      <c r="H35" s="289"/>
      <c r="I35" s="289"/>
      <c r="J35" s="289"/>
      <c r="K35" s="289"/>
      <c r="L35" s="289"/>
    </row>
    <row r="36" spans="1:12" s="203" customFormat="1" ht="15.75" customHeight="1">
      <c r="A36" s="283" t="s">
        <v>540</v>
      </c>
      <c r="B36" s="199" t="s">
        <v>261</v>
      </c>
      <c r="C36" s="285" t="s">
        <v>238</v>
      </c>
      <c r="D36" s="302">
        <v>2016</v>
      </c>
      <c r="E36" s="302">
        <v>2018</v>
      </c>
      <c r="F36" s="288">
        <f t="shared" ref="F36" si="14">G36+H36+I36+J36</f>
        <v>196953</v>
      </c>
      <c r="G36" s="294">
        <f>0+64003+81930</f>
        <v>145933</v>
      </c>
      <c r="H36" s="294">
        <f>81770-14050-14942-1758</f>
        <v>51020</v>
      </c>
      <c r="I36" s="294">
        <v>0</v>
      </c>
      <c r="J36" s="294">
        <v>0</v>
      </c>
      <c r="K36" s="294">
        <v>0</v>
      </c>
      <c r="L36" s="294">
        <v>0</v>
      </c>
    </row>
    <row r="37" spans="1:12" s="203" customFormat="1" ht="42.75" customHeight="1">
      <c r="A37" s="284"/>
      <c r="B37" s="201" t="s">
        <v>262</v>
      </c>
      <c r="C37" s="286"/>
      <c r="D37" s="303"/>
      <c r="E37" s="303"/>
      <c r="F37" s="289"/>
      <c r="G37" s="295"/>
      <c r="H37" s="295"/>
      <c r="I37" s="295"/>
      <c r="J37" s="295"/>
      <c r="K37" s="295"/>
      <c r="L37" s="295"/>
    </row>
    <row r="38" spans="1:12" s="204" customFormat="1" ht="16.5" customHeight="1">
      <c r="A38" s="283" t="s">
        <v>253</v>
      </c>
      <c r="B38" s="202" t="s">
        <v>272</v>
      </c>
      <c r="C38" s="285" t="s">
        <v>273</v>
      </c>
      <c r="D38" s="266">
        <v>2017</v>
      </c>
      <c r="E38" s="266">
        <v>2019</v>
      </c>
      <c r="F38" s="288">
        <f t="shared" ref="F38" si="15">G38+H38+I38+J38</f>
        <v>958461</v>
      </c>
      <c r="G38" s="290">
        <f>148591</f>
        <v>148591</v>
      </c>
      <c r="H38" s="288">
        <v>629636</v>
      </c>
      <c r="I38" s="288">
        <v>180234</v>
      </c>
      <c r="J38" s="288">
        <v>0</v>
      </c>
      <c r="K38" s="288">
        <v>0</v>
      </c>
      <c r="L38" s="288">
        <v>809870</v>
      </c>
    </row>
    <row r="39" spans="1:12" s="204" customFormat="1" ht="19.5" customHeight="1">
      <c r="A39" s="284"/>
      <c r="B39" s="201" t="s">
        <v>274</v>
      </c>
      <c r="C39" s="286"/>
      <c r="D39" s="287"/>
      <c r="E39" s="287"/>
      <c r="F39" s="289"/>
      <c r="G39" s="291"/>
      <c r="H39" s="289"/>
      <c r="I39" s="289"/>
      <c r="J39" s="289"/>
      <c r="K39" s="289"/>
      <c r="L39" s="289"/>
    </row>
    <row r="40" spans="1:12" s="203" customFormat="1" ht="16.5" customHeight="1">
      <c r="A40" s="283" t="s">
        <v>256</v>
      </c>
      <c r="B40" s="199" t="s">
        <v>264</v>
      </c>
      <c r="C40" s="300" t="s">
        <v>238</v>
      </c>
      <c r="D40" s="321">
        <v>2016</v>
      </c>
      <c r="E40" s="323">
        <v>2018</v>
      </c>
      <c r="F40" s="288">
        <f t="shared" ref="F40" si="16">G40+H40+I40+J40</f>
        <v>140198</v>
      </c>
      <c r="G40" s="294">
        <f>5859+70217</f>
        <v>76076</v>
      </c>
      <c r="H40" s="294">
        <v>64122</v>
      </c>
      <c r="I40" s="294">
        <v>0</v>
      </c>
      <c r="J40" s="294">
        <v>0</v>
      </c>
      <c r="K40" s="294">
        <v>0</v>
      </c>
      <c r="L40" s="294">
        <v>0</v>
      </c>
    </row>
    <row r="41" spans="1:12" s="203" customFormat="1" ht="32.25" customHeight="1">
      <c r="A41" s="284"/>
      <c r="B41" s="201" t="s">
        <v>265</v>
      </c>
      <c r="C41" s="301"/>
      <c r="D41" s="322"/>
      <c r="E41" s="324"/>
      <c r="F41" s="289"/>
      <c r="G41" s="295"/>
      <c r="H41" s="295"/>
      <c r="I41" s="295"/>
      <c r="J41" s="295"/>
      <c r="K41" s="295"/>
      <c r="L41" s="295"/>
    </row>
    <row r="42" spans="1:12" s="204" customFormat="1" ht="29.25" customHeight="1">
      <c r="A42" s="283" t="s">
        <v>541</v>
      </c>
      <c r="B42" s="202" t="s">
        <v>475</v>
      </c>
      <c r="C42" s="285" t="s">
        <v>238</v>
      </c>
      <c r="D42" s="266">
        <v>2017</v>
      </c>
      <c r="E42" s="266">
        <v>2018</v>
      </c>
      <c r="F42" s="288">
        <f t="shared" ref="F42" si="17">G42+H42+I42+J42</f>
        <v>74430</v>
      </c>
      <c r="G42" s="290">
        <v>0</v>
      </c>
      <c r="H42" s="288">
        <v>74430</v>
      </c>
      <c r="I42" s="288">
        <v>0</v>
      </c>
      <c r="J42" s="288">
        <v>0</v>
      </c>
      <c r="K42" s="288">
        <v>0</v>
      </c>
      <c r="L42" s="288">
        <v>0</v>
      </c>
    </row>
    <row r="43" spans="1:12" s="204" customFormat="1" ht="29.25" customHeight="1">
      <c r="A43" s="284"/>
      <c r="B43" s="201" t="s">
        <v>476</v>
      </c>
      <c r="C43" s="286"/>
      <c r="D43" s="287"/>
      <c r="E43" s="287"/>
      <c r="F43" s="289"/>
      <c r="G43" s="291"/>
      <c r="H43" s="289"/>
      <c r="I43" s="289"/>
      <c r="J43" s="289"/>
      <c r="K43" s="289"/>
      <c r="L43" s="289"/>
    </row>
    <row r="44" spans="1:12" s="204" customFormat="1" ht="21" customHeight="1">
      <c r="A44" s="283" t="s">
        <v>542</v>
      </c>
      <c r="B44" s="202" t="s">
        <v>477</v>
      </c>
      <c r="C44" s="285" t="s">
        <v>238</v>
      </c>
      <c r="D44" s="266">
        <v>2017</v>
      </c>
      <c r="E44" s="266">
        <v>2018</v>
      </c>
      <c r="F44" s="288">
        <f t="shared" ref="F44" si="18">G44+H44+I44+J44</f>
        <v>107823</v>
      </c>
      <c r="G44" s="290">
        <f>0+56160-56160</f>
        <v>0</v>
      </c>
      <c r="H44" s="288">
        <f>51663+56160</f>
        <v>107823</v>
      </c>
      <c r="I44" s="288">
        <v>0</v>
      </c>
      <c r="J44" s="288">
        <v>0</v>
      </c>
      <c r="K44" s="288">
        <v>0</v>
      </c>
      <c r="L44" s="288">
        <v>0</v>
      </c>
    </row>
    <row r="45" spans="1:12" s="204" customFormat="1" ht="27.75" customHeight="1">
      <c r="A45" s="284"/>
      <c r="B45" s="201" t="s">
        <v>478</v>
      </c>
      <c r="C45" s="286"/>
      <c r="D45" s="287"/>
      <c r="E45" s="287"/>
      <c r="F45" s="289"/>
      <c r="G45" s="291"/>
      <c r="H45" s="289"/>
      <c r="I45" s="289"/>
      <c r="J45" s="289"/>
      <c r="K45" s="289"/>
      <c r="L45" s="289"/>
    </row>
    <row r="46" spans="1:12" s="204" customFormat="1" ht="17.25" customHeight="1">
      <c r="A46" s="283" t="s">
        <v>260</v>
      </c>
      <c r="B46" s="202" t="s">
        <v>474</v>
      </c>
      <c r="C46" s="292" t="s">
        <v>514</v>
      </c>
      <c r="D46" s="266">
        <v>2018</v>
      </c>
      <c r="E46" s="266">
        <v>2019</v>
      </c>
      <c r="F46" s="288">
        <f t="shared" ref="F46" si="19">G46+H46+I46+J46</f>
        <v>6145</v>
      </c>
      <c r="G46" s="290">
        <v>0</v>
      </c>
      <c r="H46" s="288">
        <v>6145</v>
      </c>
      <c r="I46" s="288">
        <v>0</v>
      </c>
      <c r="J46" s="288">
        <v>0</v>
      </c>
      <c r="K46" s="288">
        <v>0</v>
      </c>
      <c r="L46" s="288">
        <v>6145</v>
      </c>
    </row>
    <row r="47" spans="1:12" s="204" customFormat="1" ht="29.25" customHeight="1">
      <c r="A47" s="284"/>
      <c r="B47" s="201" t="s">
        <v>553</v>
      </c>
      <c r="C47" s="293"/>
      <c r="D47" s="287"/>
      <c r="E47" s="287"/>
      <c r="F47" s="289"/>
      <c r="G47" s="291"/>
      <c r="H47" s="289"/>
      <c r="I47" s="289"/>
      <c r="J47" s="289"/>
      <c r="K47" s="289"/>
      <c r="L47" s="289"/>
    </row>
    <row r="48" spans="1:12" s="204" customFormat="1" ht="20.25" customHeight="1">
      <c r="A48" s="283" t="s">
        <v>263</v>
      </c>
      <c r="B48" s="202" t="s">
        <v>474</v>
      </c>
      <c r="C48" s="285" t="s">
        <v>238</v>
      </c>
      <c r="D48" s="266">
        <v>2018</v>
      </c>
      <c r="E48" s="266">
        <v>2019</v>
      </c>
      <c r="F48" s="288">
        <f t="shared" ref="F48" si="20">G48+H48+I48+J48</f>
        <v>7153</v>
      </c>
      <c r="G48" s="290">
        <v>0</v>
      </c>
      <c r="H48" s="288">
        <v>3000</v>
      </c>
      <c r="I48" s="288">
        <f>4153</f>
        <v>4153</v>
      </c>
      <c r="J48" s="288">
        <v>0</v>
      </c>
      <c r="K48" s="288">
        <v>0</v>
      </c>
      <c r="L48" s="288">
        <v>7153</v>
      </c>
    </row>
    <row r="49" spans="1:12" s="204" customFormat="1" ht="29.25" customHeight="1">
      <c r="A49" s="284"/>
      <c r="B49" s="201" t="s">
        <v>553</v>
      </c>
      <c r="C49" s="286"/>
      <c r="D49" s="287"/>
      <c r="E49" s="287"/>
      <c r="F49" s="289"/>
      <c r="G49" s="291"/>
      <c r="H49" s="289"/>
      <c r="I49" s="289"/>
      <c r="J49" s="289"/>
      <c r="K49" s="289"/>
      <c r="L49" s="289"/>
    </row>
    <row r="50" spans="1:12" s="204" customFormat="1" ht="27.75" customHeight="1">
      <c r="A50" s="283" t="s">
        <v>543</v>
      </c>
      <c r="B50" s="202" t="s">
        <v>490</v>
      </c>
      <c r="C50" s="285" t="s">
        <v>491</v>
      </c>
      <c r="D50" s="266">
        <v>2017</v>
      </c>
      <c r="E50" s="266">
        <v>2018</v>
      </c>
      <c r="F50" s="288">
        <f t="shared" ref="F50" si="21">G50+H50+I50+J50</f>
        <v>67392</v>
      </c>
      <c r="G50" s="290">
        <v>18720</v>
      </c>
      <c r="H50" s="288">
        <v>48672</v>
      </c>
      <c r="I50" s="288">
        <v>0</v>
      </c>
      <c r="J50" s="288">
        <v>0</v>
      </c>
      <c r="K50" s="288">
        <v>0</v>
      </c>
      <c r="L50" s="288">
        <v>0</v>
      </c>
    </row>
    <row r="51" spans="1:12" s="204" customFormat="1" ht="42" customHeight="1">
      <c r="A51" s="284"/>
      <c r="B51" s="201" t="s">
        <v>493</v>
      </c>
      <c r="C51" s="286"/>
      <c r="D51" s="287"/>
      <c r="E51" s="287"/>
      <c r="F51" s="289"/>
      <c r="G51" s="291"/>
      <c r="H51" s="289"/>
      <c r="I51" s="289"/>
      <c r="J51" s="289"/>
      <c r="K51" s="289"/>
      <c r="L51" s="289"/>
    </row>
    <row r="52" spans="1:12" s="203" customFormat="1" ht="28.5" customHeight="1">
      <c r="A52" s="283" t="s">
        <v>544</v>
      </c>
      <c r="B52" s="199" t="s">
        <v>268</v>
      </c>
      <c r="C52" s="285" t="s">
        <v>238</v>
      </c>
      <c r="D52" s="321">
        <v>2017</v>
      </c>
      <c r="E52" s="323">
        <v>2019</v>
      </c>
      <c r="F52" s="288">
        <f t="shared" ref="F52" si="22">G52+H52+I52+J52</f>
        <v>251472</v>
      </c>
      <c r="G52" s="294">
        <f>86320-68560</f>
        <v>17760</v>
      </c>
      <c r="H52" s="294">
        <f>123552+68560</f>
        <v>192112</v>
      </c>
      <c r="I52" s="294">
        <v>41600</v>
      </c>
      <c r="J52" s="294">
        <v>0</v>
      </c>
      <c r="K52" s="294">
        <v>0</v>
      </c>
      <c r="L52" s="294">
        <f>165152+68560</f>
        <v>233712</v>
      </c>
    </row>
    <row r="53" spans="1:12" s="203" customFormat="1" ht="31.5" customHeight="1">
      <c r="A53" s="284"/>
      <c r="B53" s="201" t="s">
        <v>269</v>
      </c>
      <c r="C53" s="286"/>
      <c r="D53" s="322"/>
      <c r="E53" s="324"/>
      <c r="F53" s="289"/>
      <c r="G53" s="295"/>
      <c r="H53" s="295"/>
      <c r="I53" s="295"/>
      <c r="J53" s="295"/>
      <c r="K53" s="295"/>
      <c r="L53" s="295"/>
    </row>
    <row r="54" spans="1:12" s="204" customFormat="1" ht="19.5" customHeight="1">
      <c r="A54" s="283" t="s">
        <v>545</v>
      </c>
      <c r="B54" s="202" t="s">
        <v>502</v>
      </c>
      <c r="C54" s="292" t="s">
        <v>514</v>
      </c>
      <c r="D54" s="266">
        <v>2017</v>
      </c>
      <c r="E54" s="266">
        <v>2018</v>
      </c>
      <c r="F54" s="288">
        <f t="shared" ref="F54" si="23">G54+H54+I54+J54</f>
        <v>59303</v>
      </c>
      <c r="G54" s="290">
        <f>0+41556</f>
        <v>41556</v>
      </c>
      <c r="H54" s="288">
        <v>17747</v>
      </c>
      <c r="I54" s="288">
        <v>0</v>
      </c>
      <c r="J54" s="288">
        <v>0</v>
      </c>
      <c r="K54" s="288">
        <v>0</v>
      </c>
      <c r="L54" s="288">
        <v>0</v>
      </c>
    </row>
    <row r="55" spans="1:12" s="204" customFormat="1" ht="59.25" customHeight="1">
      <c r="A55" s="284"/>
      <c r="B55" s="201" t="s">
        <v>513</v>
      </c>
      <c r="C55" s="293"/>
      <c r="D55" s="287"/>
      <c r="E55" s="287"/>
      <c r="F55" s="289"/>
      <c r="G55" s="291"/>
      <c r="H55" s="289"/>
      <c r="I55" s="289"/>
      <c r="J55" s="289"/>
      <c r="K55" s="289"/>
      <c r="L55" s="289"/>
    </row>
    <row r="56" spans="1:12" s="203" customFormat="1" ht="45.75" customHeight="1">
      <c r="A56" s="283" t="s">
        <v>546</v>
      </c>
      <c r="B56" s="199" t="s">
        <v>503</v>
      </c>
      <c r="C56" s="285" t="s">
        <v>238</v>
      </c>
      <c r="D56" s="316">
        <v>2017</v>
      </c>
      <c r="E56" s="302">
        <v>2020</v>
      </c>
      <c r="F56" s="288">
        <f t="shared" ref="F56" si="24">G56+H56+I56+J56</f>
        <v>2872369</v>
      </c>
      <c r="G56" s="294">
        <f>45000-39796</f>
        <v>5204</v>
      </c>
      <c r="H56" s="294">
        <v>919900</v>
      </c>
      <c r="I56" s="294">
        <v>844440</v>
      </c>
      <c r="J56" s="294">
        <v>1102825</v>
      </c>
      <c r="K56" s="294">
        <v>0</v>
      </c>
      <c r="L56" s="294">
        <v>2867165</v>
      </c>
    </row>
    <row r="57" spans="1:12" s="203" customFormat="1" ht="33" customHeight="1">
      <c r="A57" s="284"/>
      <c r="B57" s="201" t="s">
        <v>504</v>
      </c>
      <c r="C57" s="286"/>
      <c r="D57" s="287"/>
      <c r="E57" s="303"/>
      <c r="F57" s="289"/>
      <c r="G57" s="295"/>
      <c r="H57" s="295"/>
      <c r="I57" s="295"/>
      <c r="J57" s="295"/>
      <c r="K57" s="295"/>
      <c r="L57" s="295"/>
    </row>
    <row r="58" spans="1:12" s="203" customFormat="1" ht="27" customHeight="1">
      <c r="A58" s="283" t="s">
        <v>267</v>
      </c>
      <c r="B58" s="202" t="s">
        <v>557</v>
      </c>
      <c r="C58" s="285" t="s">
        <v>259</v>
      </c>
      <c r="D58" s="266">
        <v>2019</v>
      </c>
      <c r="E58" s="266">
        <v>2020</v>
      </c>
      <c r="F58" s="288">
        <f t="shared" ref="F58" si="25">G58+H58+I58+J58</f>
        <v>520456</v>
      </c>
      <c r="G58" s="294">
        <v>0</v>
      </c>
      <c r="H58" s="294">
        <v>0</v>
      </c>
      <c r="I58" s="288">
        <v>290979</v>
      </c>
      <c r="J58" s="288">
        <v>229477</v>
      </c>
      <c r="K58" s="288">
        <v>0</v>
      </c>
      <c r="L58" s="288">
        <v>520456</v>
      </c>
    </row>
    <row r="59" spans="1:12" s="203" customFormat="1" ht="30" customHeight="1">
      <c r="A59" s="284"/>
      <c r="B59" s="201" t="s">
        <v>558</v>
      </c>
      <c r="C59" s="286"/>
      <c r="D59" s="287"/>
      <c r="E59" s="287"/>
      <c r="F59" s="289"/>
      <c r="G59" s="295"/>
      <c r="H59" s="295"/>
      <c r="I59" s="289"/>
      <c r="J59" s="289"/>
      <c r="K59" s="289"/>
      <c r="L59" s="289"/>
    </row>
    <row r="60" spans="1:12" s="204" customFormat="1" ht="18" customHeight="1">
      <c r="A60" s="283" t="s">
        <v>579</v>
      </c>
      <c r="B60" s="202" t="s">
        <v>270</v>
      </c>
      <c r="C60" s="285" t="s">
        <v>259</v>
      </c>
      <c r="D60" s="266">
        <v>2017</v>
      </c>
      <c r="E60" s="266">
        <v>2019</v>
      </c>
      <c r="F60" s="288">
        <f t="shared" ref="F60" si="26">G60+H60+I60+J60</f>
        <v>622247</v>
      </c>
      <c r="G60" s="290">
        <f>0+276660</f>
        <v>276660</v>
      </c>
      <c r="H60" s="288">
        <v>228000</v>
      </c>
      <c r="I60" s="288">
        <v>117587</v>
      </c>
      <c r="J60" s="288">
        <v>0</v>
      </c>
      <c r="K60" s="288">
        <v>0</v>
      </c>
      <c r="L60" s="288">
        <v>345587</v>
      </c>
    </row>
    <row r="61" spans="1:12" s="204" customFormat="1" ht="28.5" customHeight="1">
      <c r="A61" s="284"/>
      <c r="B61" s="201" t="s">
        <v>271</v>
      </c>
      <c r="C61" s="286"/>
      <c r="D61" s="287"/>
      <c r="E61" s="287"/>
      <c r="F61" s="289"/>
      <c r="G61" s="291"/>
      <c r="H61" s="289"/>
      <c r="I61" s="289"/>
      <c r="J61" s="289"/>
      <c r="K61" s="289"/>
      <c r="L61" s="289"/>
    </row>
    <row r="62" spans="1:12" s="204" customFormat="1" ht="16.5" customHeight="1">
      <c r="A62" s="283" t="s">
        <v>580</v>
      </c>
      <c r="B62" s="202" t="s">
        <v>562</v>
      </c>
      <c r="C62" s="285" t="s">
        <v>238</v>
      </c>
      <c r="D62" s="266">
        <v>2018</v>
      </c>
      <c r="E62" s="266">
        <v>2019</v>
      </c>
      <c r="F62" s="288">
        <f t="shared" ref="F62" si="27">G62+H62+I62+J62</f>
        <v>25163</v>
      </c>
      <c r="G62" s="290">
        <v>0</v>
      </c>
      <c r="H62" s="288">
        <v>14612</v>
      </c>
      <c r="I62" s="288">
        <v>10551</v>
      </c>
      <c r="J62" s="288">
        <v>0</v>
      </c>
      <c r="K62" s="288">
        <v>0</v>
      </c>
      <c r="L62" s="288">
        <v>25163</v>
      </c>
    </row>
    <row r="63" spans="1:12" s="204" customFormat="1" ht="37.5" customHeight="1">
      <c r="A63" s="284"/>
      <c r="B63" s="201" t="s">
        <v>569</v>
      </c>
      <c r="C63" s="286"/>
      <c r="D63" s="287"/>
      <c r="E63" s="287"/>
      <c r="F63" s="289"/>
      <c r="G63" s="291"/>
      <c r="H63" s="289"/>
      <c r="I63" s="289"/>
      <c r="J63" s="289"/>
      <c r="K63" s="289"/>
      <c r="L63" s="289"/>
    </row>
    <row r="64" spans="1:12" s="207" customFormat="1" ht="25.5" customHeight="1">
      <c r="A64" s="205" t="s">
        <v>278</v>
      </c>
      <c r="B64" s="305" t="s">
        <v>236</v>
      </c>
      <c r="C64" s="306"/>
      <c r="D64" s="306"/>
      <c r="E64" s="307"/>
      <c r="F64" s="206">
        <f>SUM(F65:F100)</f>
        <v>39062485</v>
      </c>
      <c r="G64" s="206">
        <f t="shared" ref="G64:L64" si="28">SUM(G65:G100)</f>
        <v>4205849</v>
      </c>
      <c r="H64" s="206">
        <f t="shared" si="28"/>
        <v>33787792</v>
      </c>
      <c r="I64" s="206">
        <f t="shared" si="28"/>
        <v>1068844</v>
      </c>
      <c r="J64" s="206">
        <f t="shared" si="28"/>
        <v>0</v>
      </c>
      <c r="K64" s="206">
        <f t="shared" si="28"/>
        <v>0</v>
      </c>
      <c r="L64" s="206">
        <f t="shared" si="28"/>
        <v>3311151</v>
      </c>
    </row>
    <row r="65" spans="1:12" s="147" customFormat="1" ht="31.5" customHeight="1">
      <c r="A65" s="283" t="s">
        <v>279</v>
      </c>
      <c r="B65" s="202" t="s">
        <v>280</v>
      </c>
      <c r="C65" s="285" t="s">
        <v>238</v>
      </c>
      <c r="D65" s="331">
        <v>2013</v>
      </c>
      <c r="E65" s="331">
        <v>2018</v>
      </c>
      <c r="F65" s="288">
        <f t="shared" ref="F65:F79" si="29">G65+H65+I65+J65</f>
        <v>6137896</v>
      </c>
      <c r="G65" s="304">
        <f>115945+1496787-177164-175800</f>
        <v>1259768</v>
      </c>
      <c r="H65" s="288">
        <f>3088486+1436678+177164+175800</f>
        <v>4878128</v>
      </c>
      <c r="I65" s="288">
        <v>0</v>
      </c>
      <c r="J65" s="288">
        <v>0</v>
      </c>
      <c r="K65" s="288">
        <v>0</v>
      </c>
      <c r="L65" s="288">
        <f>0+458000</f>
        <v>458000</v>
      </c>
    </row>
    <row r="66" spans="1:12" s="147" customFormat="1" ht="56.25" customHeight="1">
      <c r="A66" s="284"/>
      <c r="B66" s="201" t="s">
        <v>281</v>
      </c>
      <c r="C66" s="286"/>
      <c r="D66" s="303"/>
      <c r="E66" s="303"/>
      <c r="F66" s="289"/>
      <c r="G66" s="287"/>
      <c r="H66" s="289"/>
      <c r="I66" s="289"/>
      <c r="J66" s="289"/>
      <c r="K66" s="289"/>
      <c r="L66" s="289"/>
    </row>
    <row r="67" spans="1:12" s="203" customFormat="1" ht="15" customHeight="1">
      <c r="A67" s="283" t="s">
        <v>547</v>
      </c>
      <c r="B67" s="202" t="s">
        <v>286</v>
      </c>
      <c r="C67" s="292" t="s">
        <v>238</v>
      </c>
      <c r="D67" s="266">
        <v>2016</v>
      </c>
      <c r="E67" s="266">
        <v>2018</v>
      </c>
      <c r="F67" s="288">
        <f t="shared" ref="F67" si="30">G67+H67+I67+J67</f>
        <v>9829115</v>
      </c>
      <c r="G67" s="294">
        <f>15499+3156436-760113</f>
        <v>2411822</v>
      </c>
      <c r="H67" s="294">
        <f>4755560+901620+760113+458000+542000</f>
        <v>7417293</v>
      </c>
      <c r="I67" s="294">
        <v>0</v>
      </c>
      <c r="J67" s="294">
        <v>0</v>
      </c>
      <c r="K67" s="294"/>
      <c r="L67" s="294">
        <v>0</v>
      </c>
    </row>
    <row r="68" spans="1:12" s="203" customFormat="1" ht="29.25" customHeight="1">
      <c r="A68" s="284"/>
      <c r="B68" s="201" t="s">
        <v>287</v>
      </c>
      <c r="C68" s="293"/>
      <c r="D68" s="287"/>
      <c r="E68" s="287"/>
      <c r="F68" s="289"/>
      <c r="G68" s="295"/>
      <c r="H68" s="295"/>
      <c r="I68" s="295"/>
      <c r="J68" s="295"/>
      <c r="K68" s="295"/>
      <c r="L68" s="295"/>
    </row>
    <row r="69" spans="1:12" s="147" customFormat="1" ht="43.5" customHeight="1">
      <c r="A69" s="283" t="s">
        <v>548</v>
      </c>
      <c r="B69" s="199" t="s">
        <v>503</v>
      </c>
      <c r="C69" s="285" t="s">
        <v>238</v>
      </c>
      <c r="D69" s="316">
        <v>2017</v>
      </c>
      <c r="E69" s="302">
        <v>2020</v>
      </c>
      <c r="F69" s="288">
        <f t="shared" si="29"/>
        <v>492000</v>
      </c>
      <c r="G69" s="304">
        <v>0</v>
      </c>
      <c r="H69" s="288">
        <v>0</v>
      </c>
      <c r="I69" s="288">
        <v>492000</v>
      </c>
      <c r="J69" s="288">
        <v>0</v>
      </c>
      <c r="K69" s="288">
        <v>0</v>
      </c>
      <c r="L69" s="288">
        <v>492000</v>
      </c>
    </row>
    <row r="70" spans="1:12" s="147" customFormat="1" ht="30.75" customHeight="1">
      <c r="A70" s="284"/>
      <c r="B70" s="201" t="s">
        <v>504</v>
      </c>
      <c r="C70" s="286"/>
      <c r="D70" s="287"/>
      <c r="E70" s="303"/>
      <c r="F70" s="289"/>
      <c r="G70" s="287"/>
      <c r="H70" s="289"/>
      <c r="I70" s="289"/>
      <c r="J70" s="289"/>
      <c r="K70" s="289"/>
      <c r="L70" s="289"/>
    </row>
    <row r="71" spans="1:12" s="204" customFormat="1" ht="34.5" customHeight="1">
      <c r="A71" s="283" t="s">
        <v>549</v>
      </c>
      <c r="B71" s="202" t="s">
        <v>291</v>
      </c>
      <c r="C71" s="292" t="s">
        <v>292</v>
      </c>
      <c r="D71" s="266">
        <v>2015</v>
      </c>
      <c r="E71" s="266">
        <v>2018</v>
      </c>
      <c r="F71" s="288">
        <f t="shared" ref="F71" si="31">G71+H71+I71+J71</f>
        <v>5332733</v>
      </c>
      <c r="G71" s="290">
        <f>55867+228266-114133</f>
        <v>170000</v>
      </c>
      <c r="H71" s="294">
        <f>5048600+114133</f>
        <v>5162733</v>
      </c>
      <c r="I71" s="294">
        <v>0</v>
      </c>
      <c r="J71" s="294">
        <v>0</v>
      </c>
      <c r="K71" s="294">
        <v>0</v>
      </c>
      <c r="L71" s="294">
        <v>0</v>
      </c>
    </row>
    <row r="72" spans="1:12" s="204" customFormat="1" ht="13.5" customHeight="1">
      <c r="A72" s="284"/>
      <c r="B72" s="201" t="s">
        <v>293</v>
      </c>
      <c r="C72" s="293"/>
      <c r="D72" s="287"/>
      <c r="E72" s="287"/>
      <c r="F72" s="289"/>
      <c r="G72" s="291"/>
      <c r="H72" s="295"/>
      <c r="I72" s="295"/>
      <c r="J72" s="295"/>
      <c r="K72" s="295"/>
      <c r="L72" s="295"/>
    </row>
    <row r="73" spans="1:12" s="204" customFormat="1" ht="25.5" customHeight="1">
      <c r="A73" s="283" t="s">
        <v>282</v>
      </c>
      <c r="B73" s="202" t="s">
        <v>475</v>
      </c>
      <c r="C73" s="285" t="s">
        <v>238</v>
      </c>
      <c r="D73" s="266">
        <v>2017</v>
      </c>
      <c r="E73" s="266">
        <v>2018</v>
      </c>
      <c r="F73" s="288">
        <f t="shared" ref="F73" si="32">G73+H73+I73+J73</f>
        <v>100017</v>
      </c>
      <c r="G73" s="290">
        <v>0</v>
      </c>
      <c r="H73" s="288">
        <v>100017</v>
      </c>
      <c r="I73" s="288">
        <v>0</v>
      </c>
      <c r="J73" s="288">
        <v>0</v>
      </c>
      <c r="K73" s="288">
        <v>0</v>
      </c>
      <c r="L73" s="288">
        <v>0</v>
      </c>
    </row>
    <row r="74" spans="1:12" s="204" customFormat="1" ht="30.75" customHeight="1">
      <c r="A74" s="284"/>
      <c r="B74" s="201" t="s">
        <v>476</v>
      </c>
      <c r="C74" s="286"/>
      <c r="D74" s="287"/>
      <c r="E74" s="287"/>
      <c r="F74" s="289"/>
      <c r="G74" s="291"/>
      <c r="H74" s="289"/>
      <c r="I74" s="289"/>
      <c r="J74" s="289"/>
      <c r="K74" s="289"/>
      <c r="L74" s="289"/>
    </row>
    <row r="75" spans="1:12" s="204" customFormat="1" ht="17.25" customHeight="1">
      <c r="A75" s="283" t="s">
        <v>550</v>
      </c>
      <c r="B75" s="202" t="s">
        <v>474</v>
      </c>
      <c r="C75" s="285" t="s">
        <v>514</v>
      </c>
      <c r="D75" s="266">
        <v>2018</v>
      </c>
      <c r="E75" s="266">
        <v>2019</v>
      </c>
      <c r="F75" s="288">
        <f t="shared" ref="F75" si="33">G75+H75+I75+J75</f>
        <v>1395007</v>
      </c>
      <c r="G75" s="290">
        <v>0</v>
      </c>
      <c r="H75" s="288">
        <v>1395007</v>
      </c>
      <c r="I75" s="288">
        <v>0</v>
      </c>
      <c r="J75" s="288">
        <v>0</v>
      </c>
      <c r="K75" s="288">
        <v>0</v>
      </c>
      <c r="L75" s="288">
        <v>1395007</v>
      </c>
    </row>
    <row r="76" spans="1:12" s="204" customFormat="1" ht="28.5" customHeight="1">
      <c r="A76" s="284"/>
      <c r="B76" s="201" t="s">
        <v>479</v>
      </c>
      <c r="C76" s="286"/>
      <c r="D76" s="287"/>
      <c r="E76" s="287"/>
      <c r="F76" s="289"/>
      <c r="G76" s="291"/>
      <c r="H76" s="289"/>
      <c r="I76" s="289"/>
      <c r="J76" s="289"/>
      <c r="K76" s="289"/>
      <c r="L76" s="289"/>
    </row>
    <row r="77" spans="1:12" s="204" customFormat="1" ht="17.25" customHeight="1">
      <c r="A77" s="283" t="s">
        <v>551</v>
      </c>
      <c r="B77" s="202" t="s">
        <v>474</v>
      </c>
      <c r="C77" s="285" t="s">
        <v>238</v>
      </c>
      <c r="D77" s="266">
        <v>2018</v>
      </c>
      <c r="E77" s="266">
        <v>2019</v>
      </c>
      <c r="F77" s="288">
        <f t="shared" ref="F77" si="34">G77+H77+I77+J77</f>
        <v>50000</v>
      </c>
      <c r="G77" s="290">
        <v>0</v>
      </c>
      <c r="H77" s="288">
        <v>50000</v>
      </c>
      <c r="I77" s="288">
        <v>0</v>
      </c>
      <c r="J77" s="288">
        <v>0</v>
      </c>
      <c r="K77" s="288">
        <v>0</v>
      </c>
      <c r="L77" s="288">
        <v>50000</v>
      </c>
    </row>
    <row r="78" spans="1:12" s="204" customFormat="1" ht="28.5" customHeight="1">
      <c r="A78" s="284"/>
      <c r="B78" s="201" t="s">
        <v>479</v>
      </c>
      <c r="C78" s="286"/>
      <c r="D78" s="287"/>
      <c r="E78" s="287"/>
      <c r="F78" s="289"/>
      <c r="G78" s="291"/>
      <c r="H78" s="289"/>
      <c r="I78" s="289"/>
      <c r="J78" s="289"/>
      <c r="K78" s="289"/>
      <c r="L78" s="289"/>
    </row>
    <row r="79" spans="1:12" s="204" customFormat="1" ht="16.5" customHeight="1">
      <c r="A79" s="283" t="s">
        <v>285</v>
      </c>
      <c r="B79" s="202" t="s">
        <v>289</v>
      </c>
      <c r="C79" s="292" t="s">
        <v>238</v>
      </c>
      <c r="D79" s="266">
        <v>2016</v>
      </c>
      <c r="E79" s="266">
        <v>2018</v>
      </c>
      <c r="F79" s="288">
        <f t="shared" si="29"/>
        <v>11155199</v>
      </c>
      <c r="G79" s="290">
        <f>0+157466+50185</f>
        <v>207651</v>
      </c>
      <c r="H79" s="288">
        <f>8027733+1600000+1319815</f>
        <v>10947548</v>
      </c>
      <c r="I79" s="288">
        <v>0</v>
      </c>
      <c r="J79" s="288">
        <v>0</v>
      </c>
      <c r="K79" s="288">
        <v>0</v>
      </c>
      <c r="L79" s="288">
        <v>0</v>
      </c>
    </row>
    <row r="80" spans="1:12" s="204" customFormat="1" ht="15.75" customHeight="1">
      <c r="A80" s="284"/>
      <c r="B80" s="201" t="s">
        <v>290</v>
      </c>
      <c r="C80" s="293"/>
      <c r="D80" s="287"/>
      <c r="E80" s="287"/>
      <c r="F80" s="289"/>
      <c r="G80" s="291"/>
      <c r="H80" s="289"/>
      <c r="I80" s="289"/>
      <c r="J80" s="289"/>
      <c r="K80" s="289"/>
      <c r="L80" s="289"/>
    </row>
    <row r="81" spans="1:12" s="203" customFormat="1" ht="16.5" customHeight="1">
      <c r="A81" s="283" t="s">
        <v>288</v>
      </c>
      <c r="B81" s="199" t="s">
        <v>283</v>
      </c>
      <c r="C81" s="285" t="s">
        <v>238</v>
      </c>
      <c r="D81" s="316">
        <v>2015</v>
      </c>
      <c r="E81" s="302">
        <v>2018</v>
      </c>
      <c r="F81" s="288">
        <f t="shared" ref="F81" si="35">G81+H81+I81+J81</f>
        <v>1626484</v>
      </c>
      <c r="G81" s="296">
        <f>15825+123150-100000</f>
        <v>38975</v>
      </c>
      <c r="H81" s="298">
        <f>200000+1287509+100000</f>
        <v>1587509</v>
      </c>
      <c r="I81" s="298">
        <v>0</v>
      </c>
      <c r="J81" s="298">
        <v>0</v>
      </c>
      <c r="K81" s="298">
        <v>0</v>
      </c>
      <c r="L81" s="288">
        <v>0</v>
      </c>
    </row>
    <row r="82" spans="1:12" s="203" customFormat="1" ht="16.5" customHeight="1">
      <c r="A82" s="284"/>
      <c r="B82" s="201" t="s">
        <v>284</v>
      </c>
      <c r="C82" s="286"/>
      <c r="D82" s="287"/>
      <c r="E82" s="303"/>
      <c r="F82" s="289"/>
      <c r="G82" s="297"/>
      <c r="H82" s="299"/>
      <c r="I82" s="299"/>
      <c r="J82" s="299"/>
      <c r="K82" s="299"/>
      <c r="L82" s="289"/>
    </row>
    <row r="83" spans="1:12" s="203" customFormat="1" ht="16.5" customHeight="1">
      <c r="A83" s="283" t="s">
        <v>570</v>
      </c>
      <c r="B83" s="202" t="s">
        <v>486</v>
      </c>
      <c r="C83" s="300" t="s">
        <v>238</v>
      </c>
      <c r="D83" s="266">
        <v>2017</v>
      </c>
      <c r="E83" s="266">
        <v>2018</v>
      </c>
      <c r="F83" s="288">
        <f t="shared" ref="F83" si="36">G83+H83+I83+J83</f>
        <v>424737</v>
      </c>
      <c r="G83" s="296">
        <v>5202</v>
      </c>
      <c r="H83" s="298">
        <v>419535</v>
      </c>
      <c r="I83" s="298">
        <v>0</v>
      </c>
      <c r="J83" s="298">
        <v>0</v>
      </c>
      <c r="K83" s="298">
        <v>0</v>
      </c>
      <c r="L83" s="288">
        <v>0</v>
      </c>
    </row>
    <row r="84" spans="1:12" s="203" customFormat="1" ht="16.5" customHeight="1">
      <c r="A84" s="284"/>
      <c r="B84" s="201" t="s">
        <v>441</v>
      </c>
      <c r="C84" s="301"/>
      <c r="D84" s="287"/>
      <c r="E84" s="287"/>
      <c r="F84" s="289"/>
      <c r="G84" s="297"/>
      <c r="H84" s="299"/>
      <c r="I84" s="299"/>
      <c r="J84" s="299"/>
      <c r="K84" s="299"/>
      <c r="L84" s="289"/>
    </row>
    <row r="85" spans="1:12" s="203" customFormat="1" ht="16.5" customHeight="1">
      <c r="A85" s="283" t="s">
        <v>571</v>
      </c>
      <c r="B85" s="202" t="s">
        <v>440</v>
      </c>
      <c r="C85" s="300" t="s">
        <v>238</v>
      </c>
      <c r="D85" s="266">
        <v>2017</v>
      </c>
      <c r="E85" s="266">
        <v>2018</v>
      </c>
      <c r="F85" s="288">
        <f t="shared" ref="F85" si="37">G85+H85+I85+J85</f>
        <v>165530</v>
      </c>
      <c r="G85" s="296">
        <v>5202</v>
      </c>
      <c r="H85" s="298">
        <v>160328</v>
      </c>
      <c r="I85" s="298">
        <v>0</v>
      </c>
      <c r="J85" s="298">
        <v>0</v>
      </c>
      <c r="K85" s="298">
        <v>0</v>
      </c>
      <c r="L85" s="288">
        <v>0</v>
      </c>
    </row>
    <row r="86" spans="1:12" s="203" customFormat="1" ht="16.5" customHeight="1">
      <c r="A86" s="284"/>
      <c r="B86" s="201" t="s">
        <v>441</v>
      </c>
      <c r="C86" s="301"/>
      <c r="D86" s="287"/>
      <c r="E86" s="287"/>
      <c r="F86" s="289"/>
      <c r="G86" s="297"/>
      <c r="H86" s="299"/>
      <c r="I86" s="299"/>
      <c r="J86" s="299"/>
      <c r="K86" s="299"/>
      <c r="L86" s="289"/>
    </row>
    <row r="87" spans="1:12" s="203" customFormat="1" ht="16.5" customHeight="1">
      <c r="A87" s="283" t="s">
        <v>572</v>
      </c>
      <c r="B87" s="202" t="s">
        <v>443</v>
      </c>
      <c r="C87" s="300" t="s">
        <v>238</v>
      </c>
      <c r="D87" s="266">
        <v>2016</v>
      </c>
      <c r="E87" s="266">
        <v>2018</v>
      </c>
      <c r="F87" s="288">
        <f t="shared" ref="F87" si="38">G87+H87+I87+J87</f>
        <v>326517</v>
      </c>
      <c r="G87" s="296">
        <v>19962</v>
      </c>
      <c r="H87" s="298">
        <v>306555</v>
      </c>
      <c r="I87" s="298">
        <v>0</v>
      </c>
      <c r="J87" s="298">
        <v>0</v>
      </c>
      <c r="K87" s="298">
        <v>0</v>
      </c>
      <c r="L87" s="288">
        <v>0</v>
      </c>
    </row>
    <row r="88" spans="1:12" s="203" customFormat="1" ht="16.5" customHeight="1">
      <c r="A88" s="284"/>
      <c r="B88" s="201" t="s">
        <v>441</v>
      </c>
      <c r="C88" s="301"/>
      <c r="D88" s="287"/>
      <c r="E88" s="287"/>
      <c r="F88" s="289"/>
      <c r="G88" s="297"/>
      <c r="H88" s="299"/>
      <c r="I88" s="299"/>
      <c r="J88" s="299"/>
      <c r="K88" s="299"/>
      <c r="L88" s="289"/>
    </row>
    <row r="89" spans="1:12" s="203" customFormat="1" ht="16.5" customHeight="1">
      <c r="A89" s="283" t="s">
        <v>573</v>
      </c>
      <c r="B89" s="202" t="s">
        <v>447</v>
      </c>
      <c r="C89" s="300" t="s">
        <v>238</v>
      </c>
      <c r="D89" s="266">
        <v>2016</v>
      </c>
      <c r="E89" s="266">
        <v>2018</v>
      </c>
      <c r="F89" s="288">
        <f t="shared" ref="F89" si="39">G89+H89+I89+J89</f>
        <v>293947</v>
      </c>
      <c r="G89" s="296">
        <v>19962</v>
      </c>
      <c r="H89" s="298">
        <v>273985</v>
      </c>
      <c r="I89" s="298">
        <v>0</v>
      </c>
      <c r="J89" s="298">
        <v>0</v>
      </c>
      <c r="K89" s="298">
        <v>0</v>
      </c>
      <c r="L89" s="288">
        <v>0</v>
      </c>
    </row>
    <row r="90" spans="1:12" s="203" customFormat="1" ht="16.5" customHeight="1">
      <c r="A90" s="284"/>
      <c r="B90" s="201" t="s">
        <v>441</v>
      </c>
      <c r="C90" s="301"/>
      <c r="D90" s="287"/>
      <c r="E90" s="287"/>
      <c r="F90" s="289"/>
      <c r="G90" s="297"/>
      <c r="H90" s="299"/>
      <c r="I90" s="299"/>
      <c r="J90" s="299"/>
      <c r="K90" s="299"/>
      <c r="L90" s="289"/>
    </row>
    <row r="91" spans="1:12" s="203" customFormat="1" ht="16.5" customHeight="1">
      <c r="A91" s="283" t="s">
        <v>574</v>
      </c>
      <c r="B91" s="202" t="s">
        <v>449</v>
      </c>
      <c r="C91" s="300" t="s">
        <v>238</v>
      </c>
      <c r="D91" s="266">
        <v>2016</v>
      </c>
      <c r="E91" s="266">
        <v>2018</v>
      </c>
      <c r="F91" s="288">
        <f t="shared" ref="F91" si="40">G91+H91+I91+J91</f>
        <v>209825</v>
      </c>
      <c r="G91" s="296">
        <v>16025</v>
      </c>
      <c r="H91" s="298">
        <v>193800</v>
      </c>
      <c r="I91" s="298">
        <v>0</v>
      </c>
      <c r="J91" s="298">
        <v>0</v>
      </c>
      <c r="K91" s="298">
        <v>0</v>
      </c>
      <c r="L91" s="288">
        <v>0</v>
      </c>
    </row>
    <row r="92" spans="1:12" s="203" customFormat="1" ht="16.5" customHeight="1">
      <c r="A92" s="284"/>
      <c r="B92" s="201" t="s">
        <v>441</v>
      </c>
      <c r="C92" s="301"/>
      <c r="D92" s="287"/>
      <c r="E92" s="287"/>
      <c r="F92" s="289"/>
      <c r="G92" s="297"/>
      <c r="H92" s="299"/>
      <c r="I92" s="299"/>
      <c r="J92" s="299"/>
      <c r="K92" s="299"/>
      <c r="L92" s="289"/>
    </row>
    <row r="93" spans="1:12" s="203" customFormat="1" ht="16.5" customHeight="1">
      <c r="A93" s="283" t="s">
        <v>575</v>
      </c>
      <c r="B93" s="202" t="s">
        <v>451</v>
      </c>
      <c r="C93" s="300" t="s">
        <v>238</v>
      </c>
      <c r="D93" s="266">
        <v>2016</v>
      </c>
      <c r="E93" s="266">
        <v>2018</v>
      </c>
      <c r="F93" s="288">
        <f t="shared" ref="F93" si="41">G93+H93+I93+J93</f>
        <v>576886</v>
      </c>
      <c r="G93" s="296">
        <v>26112</v>
      </c>
      <c r="H93" s="298">
        <v>550774</v>
      </c>
      <c r="I93" s="298">
        <v>0</v>
      </c>
      <c r="J93" s="298">
        <v>0</v>
      </c>
      <c r="K93" s="298">
        <v>0</v>
      </c>
      <c r="L93" s="288">
        <v>0</v>
      </c>
    </row>
    <row r="94" spans="1:12" s="203" customFormat="1" ht="16.5" customHeight="1">
      <c r="A94" s="284"/>
      <c r="B94" s="201" t="s">
        <v>441</v>
      </c>
      <c r="C94" s="301"/>
      <c r="D94" s="287"/>
      <c r="E94" s="287"/>
      <c r="F94" s="289"/>
      <c r="G94" s="297"/>
      <c r="H94" s="299"/>
      <c r="I94" s="299"/>
      <c r="J94" s="299"/>
      <c r="K94" s="299"/>
      <c r="L94" s="289"/>
    </row>
    <row r="95" spans="1:12" s="203" customFormat="1" ht="30.75" customHeight="1">
      <c r="A95" s="283" t="s">
        <v>576</v>
      </c>
      <c r="B95" s="202" t="s">
        <v>557</v>
      </c>
      <c r="C95" s="285" t="s">
        <v>259</v>
      </c>
      <c r="D95" s="266">
        <v>2019</v>
      </c>
      <c r="E95" s="266">
        <v>2020</v>
      </c>
      <c r="F95" s="288">
        <f t="shared" ref="F95" si="42">G95+H95+I95+J95</f>
        <v>7300</v>
      </c>
      <c r="G95" s="294">
        <v>0</v>
      </c>
      <c r="H95" s="288">
        <v>0</v>
      </c>
      <c r="I95" s="298">
        <v>7300</v>
      </c>
      <c r="J95" s="298">
        <v>0</v>
      </c>
      <c r="K95" s="298">
        <v>0</v>
      </c>
      <c r="L95" s="288">
        <v>7300</v>
      </c>
    </row>
    <row r="96" spans="1:12" s="203" customFormat="1" ht="16.5" customHeight="1">
      <c r="A96" s="284"/>
      <c r="B96" s="201" t="s">
        <v>559</v>
      </c>
      <c r="C96" s="286"/>
      <c r="D96" s="287"/>
      <c r="E96" s="287"/>
      <c r="F96" s="289"/>
      <c r="G96" s="295"/>
      <c r="H96" s="289"/>
      <c r="I96" s="299"/>
      <c r="J96" s="299"/>
      <c r="K96" s="299"/>
      <c r="L96" s="289"/>
    </row>
    <row r="97" spans="1:12" s="203" customFormat="1" ht="30.75" customHeight="1">
      <c r="A97" s="283" t="s">
        <v>577</v>
      </c>
      <c r="B97" s="235" t="s">
        <v>268</v>
      </c>
      <c r="C97" s="285" t="s">
        <v>238</v>
      </c>
      <c r="D97" s="266">
        <v>2017</v>
      </c>
      <c r="E97" s="266">
        <v>2019</v>
      </c>
      <c r="F97" s="288">
        <f t="shared" ref="F97" si="43">G97+H97+I97+J97</f>
        <v>30448</v>
      </c>
      <c r="G97" s="296">
        <v>25168</v>
      </c>
      <c r="H97" s="298">
        <v>5280</v>
      </c>
      <c r="I97" s="298">
        <v>0</v>
      </c>
      <c r="J97" s="298">
        <v>0</v>
      </c>
      <c r="K97" s="298">
        <v>0</v>
      </c>
      <c r="L97" s="288">
        <v>0</v>
      </c>
    </row>
    <row r="98" spans="1:12" s="203" customFormat="1" ht="16.5" customHeight="1">
      <c r="A98" s="284"/>
      <c r="B98" s="201" t="s">
        <v>563</v>
      </c>
      <c r="C98" s="286"/>
      <c r="D98" s="287"/>
      <c r="E98" s="287"/>
      <c r="F98" s="289"/>
      <c r="G98" s="297"/>
      <c r="H98" s="299"/>
      <c r="I98" s="299"/>
      <c r="J98" s="299"/>
      <c r="K98" s="299"/>
      <c r="L98" s="289"/>
    </row>
    <row r="99" spans="1:12" s="203" customFormat="1" ht="18" customHeight="1">
      <c r="A99" s="283" t="s">
        <v>578</v>
      </c>
      <c r="B99" s="202" t="s">
        <v>562</v>
      </c>
      <c r="C99" s="285" t="s">
        <v>238</v>
      </c>
      <c r="D99" s="266">
        <v>2018</v>
      </c>
      <c r="E99" s="266">
        <v>2019</v>
      </c>
      <c r="F99" s="288">
        <f t="shared" ref="F99" si="44">G99+H99+I99+J99</f>
        <v>908844</v>
      </c>
      <c r="G99" s="296">
        <v>0</v>
      </c>
      <c r="H99" s="298">
        <v>339300</v>
      </c>
      <c r="I99" s="298">
        <v>569544</v>
      </c>
      <c r="J99" s="298">
        <v>0</v>
      </c>
      <c r="K99" s="298">
        <v>0</v>
      </c>
      <c r="L99" s="288">
        <v>908844</v>
      </c>
    </row>
    <row r="100" spans="1:12" s="203" customFormat="1" ht="42" customHeight="1">
      <c r="A100" s="284"/>
      <c r="B100" s="201" t="s">
        <v>568</v>
      </c>
      <c r="C100" s="286"/>
      <c r="D100" s="287"/>
      <c r="E100" s="287"/>
      <c r="F100" s="289"/>
      <c r="G100" s="297"/>
      <c r="H100" s="299"/>
      <c r="I100" s="299"/>
      <c r="J100" s="299"/>
      <c r="K100" s="299"/>
      <c r="L100" s="289"/>
    </row>
    <row r="101" spans="1:12" s="200" customFormat="1" ht="18" customHeight="1">
      <c r="A101" s="208" t="s">
        <v>14</v>
      </c>
      <c r="B101" s="327" t="s">
        <v>294</v>
      </c>
      <c r="C101" s="328"/>
      <c r="D101" s="328"/>
      <c r="E101" s="329"/>
      <c r="F101" s="209">
        <f>SUM(F102:F103)</f>
        <v>0</v>
      </c>
      <c r="G101" s="209">
        <f t="shared" ref="G101:H101" si="45">SUM(G102:G103)</f>
        <v>0</v>
      </c>
      <c r="H101" s="209">
        <f t="shared" si="45"/>
        <v>0</v>
      </c>
      <c r="I101" s="209">
        <f>SUM(I102:I103)</f>
        <v>0</v>
      </c>
      <c r="J101" s="209">
        <f>SUM(J102:J103)</f>
        <v>0</v>
      </c>
      <c r="K101" s="209">
        <f>SUM(K102:K103)</f>
        <v>0</v>
      </c>
      <c r="L101" s="209" t="s">
        <v>295</v>
      </c>
    </row>
    <row r="102" spans="1:12" s="210" customFormat="1" ht="15.75" customHeight="1">
      <c r="A102" s="208" t="s">
        <v>15</v>
      </c>
      <c r="B102" s="330" t="s">
        <v>234</v>
      </c>
      <c r="C102" s="330"/>
      <c r="D102" s="330"/>
      <c r="E102" s="330"/>
      <c r="F102" s="206">
        <v>0</v>
      </c>
      <c r="G102" s="206"/>
      <c r="H102" s="206">
        <v>0</v>
      </c>
      <c r="I102" s="206">
        <v>0</v>
      </c>
      <c r="J102" s="206">
        <v>0</v>
      </c>
      <c r="K102" s="206">
        <v>0</v>
      </c>
      <c r="L102" s="206">
        <v>0</v>
      </c>
    </row>
    <row r="103" spans="1:12" s="210" customFormat="1" ht="19.5" customHeight="1">
      <c r="A103" s="208" t="s">
        <v>296</v>
      </c>
      <c r="B103" s="305" t="s">
        <v>236</v>
      </c>
      <c r="C103" s="306"/>
      <c r="D103" s="306"/>
      <c r="E103" s="307"/>
      <c r="F103" s="206">
        <v>0</v>
      </c>
      <c r="G103" s="206"/>
      <c r="H103" s="206">
        <v>0</v>
      </c>
      <c r="I103" s="206">
        <v>0</v>
      </c>
      <c r="J103" s="206">
        <v>0</v>
      </c>
      <c r="K103" s="206">
        <v>0</v>
      </c>
      <c r="L103" s="206">
        <v>0</v>
      </c>
    </row>
    <row r="104" spans="1:12" s="211" customFormat="1" ht="19.5" customHeight="1">
      <c r="A104" s="208" t="s">
        <v>297</v>
      </c>
      <c r="B104" s="333" t="s">
        <v>298</v>
      </c>
      <c r="C104" s="333"/>
      <c r="D104" s="333"/>
      <c r="E104" s="333"/>
      <c r="F104" s="209">
        <f>SUM(F105:F106)</f>
        <v>152339614.84</v>
      </c>
      <c r="G104" s="209">
        <f t="shared" ref="G104:L104" si="46">SUM(G105:G106)</f>
        <v>79950838.840000004</v>
      </c>
      <c r="H104" s="209">
        <f t="shared" si="46"/>
        <v>41393776</v>
      </c>
      <c r="I104" s="209">
        <f>SUM(I105:I106)</f>
        <v>25995000</v>
      </c>
      <c r="J104" s="209">
        <f>SUM(J105:J106)</f>
        <v>5000000</v>
      </c>
      <c r="K104" s="209">
        <f>SUM(K105:K106)</f>
        <v>0</v>
      </c>
      <c r="L104" s="209">
        <f t="shared" si="46"/>
        <v>59813297</v>
      </c>
    </row>
    <row r="105" spans="1:12" s="210" customFormat="1" ht="16.5" customHeight="1">
      <c r="A105" s="208" t="s">
        <v>299</v>
      </c>
      <c r="B105" s="330" t="s">
        <v>234</v>
      </c>
      <c r="C105" s="330"/>
      <c r="D105" s="330"/>
      <c r="E105" s="330"/>
      <c r="F105" s="206">
        <v>0</v>
      </c>
      <c r="G105" s="206">
        <v>0</v>
      </c>
      <c r="H105" s="206">
        <v>0</v>
      </c>
      <c r="I105" s="206">
        <v>0</v>
      </c>
      <c r="J105" s="206">
        <v>0</v>
      </c>
      <c r="K105" s="206">
        <v>0</v>
      </c>
      <c r="L105" s="206">
        <v>0</v>
      </c>
    </row>
    <row r="106" spans="1:12" s="207" customFormat="1" ht="18.75" customHeight="1">
      <c r="A106" s="205" t="s">
        <v>300</v>
      </c>
      <c r="B106" s="305" t="s">
        <v>236</v>
      </c>
      <c r="C106" s="306"/>
      <c r="D106" s="306"/>
      <c r="E106" s="307"/>
      <c r="F106" s="206">
        <f t="shared" ref="F106:L106" si="47">SUM(F107:F269)</f>
        <v>152339614.84</v>
      </c>
      <c r="G106" s="206">
        <f t="shared" si="47"/>
        <v>79950838.840000004</v>
      </c>
      <c r="H106" s="206">
        <f t="shared" si="47"/>
        <v>41393776</v>
      </c>
      <c r="I106" s="206">
        <f t="shared" si="47"/>
        <v>25995000</v>
      </c>
      <c r="J106" s="206">
        <f t="shared" si="47"/>
        <v>5000000</v>
      </c>
      <c r="K106" s="206">
        <f t="shared" si="47"/>
        <v>0</v>
      </c>
      <c r="L106" s="206">
        <f t="shared" si="47"/>
        <v>59813297</v>
      </c>
    </row>
    <row r="107" spans="1:12" s="147" customFormat="1" ht="19.5" customHeight="1">
      <c r="A107" s="243" t="s">
        <v>301</v>
      </c>
      <c r="B107" s="202" t="s">
        <v>302</v>
      </c>
      <c r="C107" s="285" t="s">
        <v>238</v>
      </c>
      <c r="D107" s="331">
        <v>2003</v>
      </c>
      <c r="E107" s="331">
        <v>2020</v>
      </c>
      <c r="F107" s="288">
        <f t="shared" ref="F107:F157" si="48">G107+H107+I107+J107</f>
        <v>5819648</v>
      </c>
      <c r="G107" s="290">
        <f>2626533+432986-2+566685+317896-9000+345913+404837+123800-209000</f>
        <v>4600648</v>
      </c>
      <c r="H107" s="304">
        <f>300000+257000+62000</f>
        <v>619000</v>
      </c>
      <c r="I107" s="304">
        <v>300000</v>
      </c>
      <c r="J107" s="304">
        <v>300000</v>
      </c>
      <c r="K107" s="294">
        <v>0</v>
      </c>
      <c r="L107" s="294">
        <f>900000+62000</f>
        <v>962000</v>
      </c>
    </row>
    <row r="108" spans="1:12" s="147" customFormat="1" ht="33" customHeight="1">
      <c r="A108" s="243"/>
      <c r="B108" s="201" t="s">
        <v>303</v>
      </c>
      <c r="C108" s="286"/>
      <c r="D108" s="331"/>
      <c r="E108" s="331"/>
      <c r="F108" s="289"/>
      <c r="G108" s="290"/>
      <c r="H108" s="304"/>
      <c r="I108" s="304"/>
      <c r="J108" s="304"/>
      <c r="K108" s="295"/>
      <c r="L108" s="295"/>
    </row>
    <row r="109" spans="1:12" s="147" customFormat="1" ht="15" customHeight="1">
      <c r="A109" s="243" t="s">
        <v>304</v>
      </c>
      <c r="B109" s="202" t="s">
        <v>305</v>
      </c>
      <c r="C109" s="285" t="s">
        <v>238</v>
      </c>
      <c r="D109" s="331">
        <v>2011</v>
      </c>
      <c r="E109" s="331">
        <v>2018</v>
      </c>
      <c r="F109" s="288">
        <f t="shared" si="48"/>
        <v>2583408.84</v>
      </c>
      <c r="G109" s="304">
        <f>47890+36830+7238-7238+828+1317746+960925.84+77689+61500</f>
        <v>2503408.84</v>
      </c>
      <c r="H109" s="332">
        <f>0+80000</f>
        <v>80000</v>
      </c>
      <c r="I109" s="332">
        <v>0</v>
      </c>
      <c r="J109" s="332">
        <v>0</v>
      </c>
      <c r="K109" s="288">
        <v>0</v>
      </c>
      <c r="L109" s="288">
        <v>18500</v>
      </c>
    </row>
    <row r="110" spans="1:12" s="147" customFormat="1" ht="16.5" customHeight="1">
      <c r="A110" s="243"/>
      <c r="B110" s="201" t="s">
        <v>306</v>
      </c>
      <c r="C110" s="286"/>
      <c r="D110" s="331"/>
      <c r="E110" s="331"/>
      <c r="F110" s="289"/>
      <c r="G110" s="304"/>
      <c r="H110" s="332"/>
      <c r="I110" s="332"/>
      <c r="J110" s="332"/>
      <c r="K110" s="289"/>
      <c r="L110" s="289"/>
    </row>
    <row r="111" spans="1:12" s="147" customFormat="1" ht="16.5" customHeight="1">
      <c r="A111" s="243" t="s">
        <v>307</v>
      </c>
      <c r="B111" s="202" t="s">
        <v>308</v>
      </c>
      <c r="C111" s="334" t="s">
        <v>309</v>
      </c>
      <c r="D111" s="266">
        <v>2005</v>
      </c>
      <c r="E111" s="266">
        <v>2019</v>
      </c>
      <c r="F111" s="288">
        <f t="shared" si="48"/>
        <v>6451449</v>
      </c>
      <c r="G111" s="304">
        <f>1265040+300000+233125+2117850+1859129+290305+65000</f>
        <v>6130449</v>
      </c>
      <c r="H111" s="304">
        <v>241000</v>
      </c>
      <c r="I111" s="304">
        <v>80000</v>
      </c>
      <c r="J111" s="304">
        <v>0</v>
      </c>
      <c r="K111" s="294">
        <v>0</v>
      </c>
      <c r="L111" s="294">
        <v>321000</v>
      </c>
    </row>
    <row r="112" spans="1:12" s="147" customFormat="1" ht="21.75" customHeight="1">
      <c r="A112" s="243"/>
      <c r="B112" s="201" t="s">
        <v>310</v>
      </c>
      <c r="C112" s="334"/>
      <c r="D112" s="266"/>
      <c r="E112" s="266"/>
      <c r="F112" s="289"/>
      <c r="G112" s="304"/>
      <c r="H112" s="304"/>
      <c r="I112" s="304"/>
      <c r="J112" s="304"/>
      <c r="K112" s="295"/>
      <c r="L112" s="295"/>
    </row>
    <row r="113" spans="1:12" s="147" customFormat="1" ht="13.5" customHeight="1">
      <c r="A113" s="243" t="s">
        <v>311</v>
      </c>
      <c r="B113" s="202" t="s">
        <v>312</v>
      </c>
      <c r="C113" s="334" t="s">
        <v>292</v>
      </c>
      <c r="D113" s="266">
        <v>2011</v>
      </c>
      <c r="E113" s="266">
        <v>2020</v>
      </c>
      <c r="F113" s="288">
        <f t="shared" si="48"/>
        <v>3801751</v>
      </c>
      <c r="G113" s="304">
        <f>23166+54395-54395+78585+0+0</f>
        <v>101751</v>
      </c>
      <c r="H113" s="294">
        <v>1000000</v>
      </c>
      <c r="I113" s="294">
        <v>0</v>
      </c>
      <c r="J113" s="294">
        <v>2700000</v>
      </c>
      <c r="K113" s="294">
        <v>0</v>
      </c>
      <c r="L113" s="294">
        <v>3700000</v>
      </c>
    </row>
    <row r="114" spans="1:12" s="147" customFormat="1" ht="45" customHeight="1">
      <c r="A114" s="243"/>
      <c r="B114" s="232" t="s">
        <v>313</v>
      </c>
      <c r="C114" s="334"/>
      <c r="D114" s="287"/>
      <c r="E114" s="287"/>
      <c r="F114" s="289"/>
      <c r="G114" s="287"/>
      <c r="H114" s="295"/>
      <c r="I114" s="295"/>
      <c r="J114" s="295"/>
      <c r="K114" s="295"/>
      <c r="L114" s="295"/>
    </row>
    <row r="115" spans="1:12" s="147" customFormat="1" ht="12.75">
      <c r="A115" s="243" t="s">
        <v>314</v>
      </c>
      <c r="B115" s="202" t="s">
        <v>315</v>
      </c>
      <c r="C115" s="292" t="s">
        <v>238</v>
      </c>
      <c r="D115" s="266">
        <v>2011</v>
      </c>
      <c r="E115" s="266">
        <v>2018</v>
      </c>
      <c r="F115" s="288">
        <f t="shared" si="48"/>
        <v>1706420</v>
      </c>
      <c r="G115" s="304">
        <f>66420+0+0+0+105000-104181</f>
        <v>67239</v>
      </c>
      <c r="H115" s="288">
        <f>1500000-700000+735000+104181</f>
        <v>1639181</v>
      </c>
      <c r="I115" s="288">
        <v>0</v>
      </c>
      <c r="J115" s="288">
        <v>0</v>
      </c>
      <c r="K115" s="288">
        <v>0</v>
      </c>
      <c r="L115" s="288">
        <v>1535000</v>
      </c>
    </row>
    <row r="116" spans="1:12" s="147" customFormat="1" ht="16.5" customHeight="1">
      <c r="A116" s="243"/>
      <c r="B116" s="201" t="s">
        <v>316</v>
      </c>
      <c r="C116" s="293"/>
      <c r="D116" s="287"/>
      <c r="E116" s="287"/>
      <c r="F116" s="289"/>
      <c r="G116" s="287"/>
      <c r="H116" s="289"/>
      <c r="I116" s="289"/>
      <c r="J116" s="289"/>
      <c r="K116" s="289"/>
      <c r="L116" s="289"/>
    </row>
    <row r="117" spans="1:12" s="147" customFormat="1" ht="15.75" customHeight="1">
      <c r="A117" s="243" t="s">
        <v>317</v>
      </c>
      <c r="B117" s="202" t="s">
        <v>318</v>
      </c>
      <c r="C117" s="334" t="s">
        <v>292</v>
      </c>
      <c r="D117" s="266">
        <f>2013+1</f>
        <v>2014</v>
      </c>
      <c r="E117" s="266">
        <v>2018</v>
      </c>
      <c r="F117" s="288">
        <f t="shared" si="48"/>
        <v>10345496</v>
      </c>
      <c r="G117" s="304">
        <f>150000+111135+1657912+2841449+3700000</f>
        <v>8460496</v>
      </c>
      <c r="H117" s="294">
        <v>1885000</v>
      </c>
      <c r="I117" s="294">
        <v>0</v>
      </c>
      <c r="J117" s="294">
        <v>0</v>
      </c>
      <c r="K117" s="294">
        <v>0</v>
      </c>
      <c r="L117" s="294">
        <v>184245</v>
      </c>
    </row>
    <row r="118" spans="1:12" s="147" customFormat="1" ht="48.75" customHeight="1">
      <c r="A118" s="243"/>
      <c r="B118" s="201" t="s">
        <v>319</v>
      </c>
      <c r="C118" s="334"/>
      <c r="D118" s="287"/>
      <c r="E118" s="287"/>
      <c r="F118" s="289"/>
      <c r="G118" s="287"/>
      <c r="H118" s="295"/>
      <c r="I118" s="295"/>
      <c r="J118" s="295"/>
      <c r="K118" s="295"/>
      <c r="L118" s="295"/>
    </row>
    <row r="119" spans="1:12" s="147" customFormat="1" ht="14.25" customHeight="1">
      <c r="A119" s="243" t="s">
        <v>320</v>
      </c>
      <c r="B119" s="202" t="s">
        <v>321</v>
      </c>
      <c r="C119" s="292" t="s">
        <v>238</v>
      </c>
      <c r="D119" s="266">
        <v>2011</v>
      </c>
      <c r="E119" s="266">
        <v>2018</v>
      </c>
      <c r="F119" s="288">
        <f t="shared" si="48"/>
        <v>7963762</v>
      </c>
      <c r="G119" s="304">
        <f>0+152000+74824-113412+1523000-513049</f>
        <v>1123363</v>
      </c>
      <c r="H119" s="288">
        <f>800000+1200000+600000+4400000-672650+513049</f>
        <v>6840399</v>
      </c>
      <c r="I119" s="288">
        <f>0+2000000+600000-2000000-600000</f>
        <v>0</v>
      </c>
      <c r="J119" s="288">
        <v>0</v>
      </c>
      <c r="K119" s="288">
        <v>0</v>
      </c>
      <c r="L119" s="288">
        <v>146426</v>
      </c>
    </row>
    <row r="120" spans="1:12" s="147" customFormat="1" ht="21" customHeight="1">
      <c r="A120" s="243"/>
      <c r="B120" s="201" t="s">
        <v>322</v>
      </c>
      <c r="C120" s="293"/>
      <c r="D120" s="287"/>
      <c r="E120" s="287"/>
      <c r="F120" s="289"/>
      <c r="G120" s="287"/>
      <c r="H120" s="289"/>
      <c r="I120" s="289"/>
      <c r="J120" s="289"/>
      <c r="K120" s="289"/>
      <c r="L120" s="289"/>
    </row>
    <row r="121" spans="1:12" s="147" customFormat="1" ht="13.5" customHeight="1">
      <c r="A121" s="243" t="s">
        <v>323</v>
      </c>
      <c r="B121" s="202" t="s">
        <v>484</v>
      </c>
      <c r="C121" s="285" t="s">
        <v>238</v>
      </c>
      <c r="D121" s="266">
        <v>2011</v>
      </c>
      <c r="E121" s="266">
        <v>2019</v>
      </c>
      <c r="F121" s="288">
        <f t="shared" si="48"/>
        <v>1386062</v>
      </c>
      <c r="G121" s="304">
        <v>113412</v>
      </c>
      <c r="H121" s="288">
        <v>672650</v>
      </c>
      <c r="I121" s="288">
        <v>600000</v>
      </c>
      <c r="J121" s="288">
        <v>0</v>
      </c>
      <c r="K121" s="288">
        <v>0</v>
      </c>
      <c r="L121" s="294">
        <v>1272650</v>
      </c>
    </row>
    <row r="122" spans="1:12" s="147" customFormat="1" ht="16.5" customHeight="1">
      <c r="A122" s="243"/>
      <c r="B122" s="201" t="s">
        <v>485</v>
      </c>
      <c r="C122" s="286"/>
      <c r="D122" s="287"/>
      <c r="E122" s="287"/>
      <c r="F122" s="289"/>
      <c r="G122" s="287"/>
      <c r="H122" s="289"/>
      <c r="I122" s="289"/>
      <c r="J122" s="289"/>
      <c r="K122" s="289"/>
      <c r="L122" s="295"/>
    </row>
    <row r="123" spans="1:12" s="147" customFormat="1" ht="15.75" customHeight="1">
      <c r="A123" s="243" t="s">
        <v>326</v>
      </c>
      <c r="B123" s="202" t="s">
        <v>324</v>
      </c>
      <c r="C123" s="292" t="s">
        <v>238</v>
      </c>
      <c r="D123" s="266">
        <v>2013</v>
      </c>
      <c r="E123" s="266">
        <v>2018</v>
      </c>
      <c r="F123" s="288">
        <f t="shared" si="48"/>
        <v>1278095</v>
      </c>
      <c r="G123" s="290">
        <f>20141+402715-238275+152594+401555</f>
        <v>738730</v>
      </c>
      <c r="H123" s="288">
        <f>0+82890+456475</f>
        <v>539365</v>
      </c>
      <c r="I123" s="288">
        <v>0</v>
      </c>
      <c r="J123" s="288">
        <v>0</v>
      </c>
      <c r="K123" s="288">
        <v>0</v>
      </c>
      <c r="L123" s="288">
        <v>0</v>
      </c>
    </row>
    <row r="124" spans="1:12" s="147" customFormat="1" ht="30" customHeight="1">
      <c r="A124" s="243"/>
      <c r="B124" s="201" t="s">
        <v>325</v>
      </c>
      <c r="C124" s="293"/>
      <c r="D124" s="287"/>
      <c r="E124" s="287"/>
      <c r="F124" s="289"/>
      <c r="G124" s="291"/>
      <c r="H124" s="289"/>
      <c r="I124" s="289"/>
      <c r="J124" s="289"/>
      <c r="K124" s="289"/>
      <c r="L124" s="289"/>
    </row>
    <row r="125" spans="1:12" s="147" customFormat="1" ht="12.75">
      <c r="A125" s="243" t="s">
        <v>329</v>
      </c>
      <c r="B125" s="202" t="s">
        <v>327</v>
      </c>
      <c r="C125" s="292" t="s">
        <v>238</v>
      </c>
      <c r="D125" s="266">
        <v>2011</v>
      </c>
      <c r="E125" s="266">
        <v>2018</v>
      </c>
      <c r="F125" s="288">
        <f t="shared" si="48"/>
        <v>6176720</v>
      </c>
      <c r="G125" s="304">
        <f>92139+590969+782565-3013+2002165+860373+296888-217366+7000+20000</f>
        <v>4431720</v>
      </c>
      <c r="H125" s="288">
        <f>0+1200000+545000</f>
        <v>1745000</v>
      </c>
      <c r="I125" s="288">
        <v>0</v>
      </c>
      <c r="J125" s="288">
        <v>0</v>
      </c>
      <c r="K125" s="288">
        <v>0</v>
      </c>
      <c r="L125" s="294">
        <f>1200000+545000</f>
        <v>1745000</v>
      </c>
    </row>
    <row r="126" spans="1:12" s="147" customFormat="1" ht="19.5" customHeight="1">
      <c r="A126" s="243"/>
      <c r="B126" s="201" t="s">
        <v>328</v>
      </c>
      <c r="C126" s="293"/>
      <c r="D126" s="287"/>
      <c r="E126" s="287"/>
      <c r="F126" s="289"/>
      <c r="G126" s="287"/>
      <c r="H126" s="289"/>
      <c r="I126" s="289"/>
      <c r="J126" s="289"/>
      <c r="K126" s="289"/>
      <c r="L126" s="295"/>
    </row>
    <row r="127" spans="1:12" s="147" customFormat="1" ht="18" customHeight="1">
      <c r="A127" s="243" t="s">
        <v>331</v>
      </c>
      <c r="B127" s="202" t="s">
        <v>330</v>
      </c>
      <c r="C127" s="292" t="s">
        <v>238</v>
      </c>
      <c r="D127" s="266">
        <v>2011</v>
      </c>
      <c r="E127" s="266">
        <v>2019</v>
      </c>
      <c r="F127" s="288">
        <f t="shared" si="48"/>
        <v>1394805</v>
      </c>
      <c r="G127" s="304">
        <f>40225+1215+133510+19855+68484-68484</f>
        <v>194805</v>
      </c>
      <c r="H127" s="288">
        <v>500000</v>
      </c>
      <c r="I127" s="288">
        <v>700000</v>
      </c>
      <c r="J127" s="288">
        <v>0</v>
      </c>
      <c r="K127" s="288">
        <v>0</v>
      </c>
      <c r="L127" s="288">
        <v>1200000</v>
      </c>
    </row>
    <row r="128" spans="1:12" s="147" customFormat="1" ht="15.75" customHeight="1">
      <c r="A128" s="243"/>
      <c r="B128" s="201" t="s">
        <v>306</v>
      </c>
      <c r="C128" s="293"/>
      <c r="D128" s="287"/>
      <c r="E128" s="287"/>
      <c r="F128" s="289"/>
      <c r="G128" s="287"/>
      <c r="H128" s="289"/>
      <c r="I128" s="289"/>
      <c r="J128" s="289"/>
      <c r="K128" s="289"/>
      <c r="L128" s="289"/>
    </row>
    <row r="129" spans="1:12" s="147" customFormat="1" ht="15.75" customHeight="1">
      <c r="A129" s="243" t="s">
        <v>520</v>
      </c>
      <c r="B129" s="202" t="s">
        <v>335</v>
      </c>
      <c r="C129" s="292" t="s">
        <v>238</v>
      </c>
      <c r="D129" s="266">
        <v>2017</v>
      </c>
      <c r="E129" s="266">
        <v>2018</v>
      </c>
      <c r="F129" s="288">
        <f t="shared" si="48"/>
        <v>170000</v>
      </c>
      <c r="G129" s="304">
        <f>0+62000-62000</f>
        <v>0</v>
      </c>
      <c r="H129" s="288">
        <f>100000+8000+62000</f>
        <v>170000</v>
      </c>
      <c r="I129" s="288">
        <v>0</v>
      </c>
      <c r="J129" s="288">
        <v>0</v>
      </c>
      <c r="K129" s="288">
        <v>0</v>
      </c>
      <c r="L129" s="294">
        <v>42500</v>
      </c>
    </row>
    <row r="130" spans="1:12" s="147" customFormat="1" ht="14.25" customHeight="1">
      <c r="A130" s="243"/>
      <c r="B130" s="201" t="s">
        <v>336</v>
      </c>
      <c r="C130" s="293"/>
      <c r="D130" s="287"/>
      <c r="E130" s="287"/>
      <c r="F130" s="289"/>
      <c r="G130" s="287"/>
      <c r="H130" s="289"/>
      <c r="I130" s="289"/>
      <c r="J130" s="289"/>
      <c r="K130" s="289"/>
      <c r="L130" s="295"/>
    </row>
    <row r="131" spans="1:12" s="147" customFormat="1" ht="14.25" customHeight="1">
      <c r="A131" s="243" t="s">
        <v>334</v>
      </c>
      <c r="B131" s="202" t="s">
        <v>338</v>
      </c>
      <c r="C131" s="292" t="s">
        <v>238</v>
      </c>
      <c r="D131" s="266">
        <v>2009</v>
      </c>
      <c r="E131" s="266">
        <v>2020</v>
      </c>
      <c r="F131" s="288">
        <f t="shared" si="48"/>
        <v>3624445</v>
      </c>
      <c r="G131" s="304">
        <f>0+205224+305798-95489+1547+151065+106300</f>
        <v>674445</v>
      </c>
      <c r="H131" s="288">
        <v>1000000</v>
      </c>
      <c r="I131" s="288">
        <v>1200000</v>
      </c>
      <c r="J131" s="288">
        <v>750000</v>
      </c>
      <c r="K131" s="288">
        <v>0</v>
      </c>
      <c r="L131" s="294">
        <v>2950000</v>
      </c>
    </row>
    <row r="132" spans="1:12" s="147" customFormat="1" ht="13.5" customHeight="1">
      <c r="A132" s="243"/>
      <c r="B132" s="201" t="s">
        <v>336</v>
      </c>
      <c r="C132" s="293"/>
      <c r="D132" s="287"/>
      <c r="E132" s="287"/>
      <c r="F132" s="289"/>
      <c r="G132" s="287"/>
      <c r="H132" s="289"/>
      <c r="I132" s="289"/>
      <c r="J132" s="289"/>
      <c r="K132" s="289"/>
      <c r="L132" s="295"/>
    </row>
    <row r="133" spans="1:12" s="147" customFormat="1" ht="16.5" customHeight="1">
      <c r="A133" s="243" t="s">
        <v>337</v>
      </c>
      <c r="B133" s="202" t="s">
        <v>340</v>
      </c>
      <c r="C133" s="292" t="s">
        <v>238</v>
      </c>
      <c r="D133" s="266">
        <v>2017</v>
      </c>
      <c r="E133" s="266">
        <v>2018</v>
      </c>
      <c r="F133" s="288">
        <f t="shared" si="48"/>
        <v>120000</v>
      </c>
      <c r="G133" s="304">
        <f>0+50000-50000</f>
        <v>0</v>
      </c>
      <c r="H133" s="288">
        <f>70000+50000</f>
        <v>120000</v>
      </c>
      <c r="I133" s="288">
        <v>0</v>
      </c>
      <c r="J133" s="288">
        <v>0</v>
      </c>
      <c r="K133" s="288">
        <v>0</v>
      </c>
      <c r="L133" s="294">
        <v>70000</v>
      </c>
    </row>
    <row r="134" spans="1:12" s="147" customFormat="1" ht="13.5" customHeight="1">
      <c r="A134" s="243"/>
      <c r="B134" s="201" t="s">
        <v>336</v>
      </c>
      <c r="C134" s="293"/>
      <c r="D134" s="287"/>
      <c r="E134" s="287"/>
      <c r="F134" s="289"/>
      <c r="G134" s="287"/>
      <c r="H134" s="289"/>
      <c r="I134" s="289"/>
      <c r="J134" s="289"/>
      <c r="K134" s="289"/>
      <c r="L134" s="295"/>
    </row>
    <row r="135" spans="1:12" s="147" customFormat="1" ht="15" customHeight="1">
      <c r="A135" s="243" t="s">
        <v>339</v>
      </c>
      <c r="B135" s="202" t="s">
        <v>342</v>
      </c>
      <c r="C135" s="292" t="s">
        <v>238</v>
      </c>
      <c r="D135" s="266">
        <v>2017</v>
      </c>
      <c r="E135" s="266">
        <v>2018</v>
      </c>
      <c r="F135" s="288">
        <f t="shared" si="48"/>
        <v>120000</v>
      </c>
      <c r="G135" s="304">
        <v>0</v>
      </c>
      <c r="H135" s="288">
        <f>70000+50000</f>
        <v>120000</v>
      </c>
      <c r="I135" s="288">
        <v>0</v>
      </c>
      <c r="J135" s="288">
        <v>0</v>
      </c>
      <c r="K135" s="288">
        <v>0</v>
      </c>
      <c r="L135" s="294">
        <v>120000</v>
      </c>
    </row>
    <row r="136" spans="1:12" s="147" customFormat="1" ht="15" customHeight="1">
      <c r="A136" s="243"/>
      <c r="B136" s="201" t="s">
        <v>336</v>
      </c>
      <c r="C136" s="293"/>
      <c r="D136" s="287"/>
      <c r="E136" s="287"/>
      <c r="F136" s="289"/>
      <c r="G136" s="287"/>
      <c r="H136" s="289"/>
      <c r="I136" s="289"/>
      <c r="J136" s="289"/>
      <c r="K136" s="289"/>
      <c r="L136" s="295"/>
    </row>
    <row r="137" spans="1:12" s="147" customFormat="1" ht="15.75" customHeight="1">
      <c r="A137" s="243" t="s">
        <v>341</v>
      </c>
      <c r="B137" s="202" t="s">
        <v>344</v>
      </c>
      <c r="C137" s="292" t="s">
        <v>238</v>
      </c>
      <c r="D137" s="266">
        <v>2015</v>
      </c>
      <c r="E137" s="266">
        <v>2018</v>
      </c>
      <c r="F137" s="288">
        <f t="shared" si="48"/>
        <v>190700</v>
      </c>
      <c r="G137" s="304">
        <f>0+0+70000+110700</f>
        <v>180700</v>
      </c>
      <c r="H137" s="288">
        <v>10000</v>
      </c>
      <c r="I137" s="288">
        <v>0</v>
      </c>
      <c r="J137" s="288">
        <v>0</v>
      </c>
      <c r="K137" s="288">
        <v>0</v>
      </c>
      <c r="L137" s="294">
        <v>10000</v>
      </c>
    </row>
    <row r="138" spans="1:12" s="147" customFormat="1" ht="12" customHeight="1">
      <c r="A138" s="243"/>
      <c r="B138" s="201" t="s">
        <v>336</v>
      </c>
      <c r="C138" s="293"/>
      <c r="D138" s="287"/>
      <c r="E138" s="287"/>
      <c r="F138" s="289"/>
      <c r="G138" s="287"/>
      <c r="H138" s="289"/>
      <c r="I138" s="289"/>
      <c r="J138" s="289"/>
      <c r="K138" s="289"/>
      <c r="L138" s="295"/>
    </row>
    <row r="139" spans="1:12" s="147" customFormat="1" ht="13.5" customHeight="1">
      <c r="A139" s="243" t="s">
        <v>343</v>
      </c>
      <c r="B139" s="202" t="s">
        <v>349</v>
      </c>
      <c r="C139" s="292" t="s">
        <v>238</v>
      </c>
      <c r="D139" s="266">
        <v>2016</v>
      </c>
      <c r="E139" s="266">
        <v>2018</v>
      </c>
      <c r="F139" s="288">
        <f t="shared" si="48"/>
        <v>122484</v>
      </c>
      <c r="G139" s="304">
        <f>0+0+30984+31500</f>
        <v>62484</v>
      </c>
      <c r="H139" s="288">
        <v>60000</v>
      </c>
      <c r="I139" s="288">
        <v>0</v>
      </c>
      <c r="J139" s="288">
        <v>0</v>
      </c>
      <c r="K139" s="288">
        <v>0</v>
      </c>
      <c r="L139" s="294">
        <v>60000</v>
      </c>
    </row>
    <row r="140" spans="1:12" s="147" customFormat="1" ht="15.75" customHeight="1">
      <c r="A140" s="243"/>
      <c r="B140" s="201" t="s">
        <v>336</v>
      </c>
      <c r="C140" s="293"/>
      <c r="D140" s="287"/>
      <c r="E140" s="287"/>
      <c r="F140" s="289"/>
      <c r="G140" s="287"/>
      <c r="H140" s="289"/>
      <c r="I140" s="289"/>
      <c r="J140" s="289"/>
      <c r="K140" s="289"/>
      <c r="L140" s="295"/>
    </row>
    <row r="141" spans="1:12" s="147" customFormat="1" ht="14.25" customHeight="1">
      <c r="A141" s="243" t="s">
        <v>345</v>
      </c>
      <c r="B141" s="202" t="s">
        <v>351</v>
      </c>
      <c r="C141" s="292" t="s">
        <v>238</v>
      </c>
      <c r="D141" s="266">
        <v>2011</v>
      </c>
      <c r="E141" s="266">
        <v>2018</v>
      </c>
      <c r="F141" s="288">
        <f t="shared" si="48"/>
        <v>1140000</v>
      </c>
      <c r="G141" s="304">
        <f>58436+31564+0+1030000</f>
        <v>1120000</v>
      </c>
      <c r="H141" s="294">
        <f>250000-30000-200000</f>
        <v>20000</v>
      </c>
      <c r="I141" s="288">
        <v>0</v>
      </c>
      <c r="J141" s="288">
        <v>0</v>
      </c>
      <c r="K141" s="288">
        <v>0</v>
      </c>
      <c r="L141" s="294">
        <v>20000</v>
      </c>
    </row>
    <row r="142" spans="1:12" s="147" customFormat="1" ht="15" customHeight="1">
      <c r="A142" s="243"/>
      <c r="B142" s="201" t="s">
        <v>336</v>
      </c>
      <c r="C142" s="293"/>
      <c r="D142" s="287"/>
      <c r="E142" s="287"/>
      <c r="F142" s="289"/>
      <c r="G142" s="287"/>
      <c r="H142" s="295"/>
      <c r="I142" s="289"/>
      <c r="J142" s="289"/>
      <c r="K142" s="289"/>
      <c r="L142" s="295"/>
    </row>
    <row r="143" spans="1:12" s="147" customFormat="1" ht="24.75" customHeight="1">
      <c r="A143" s="243" t="s">
        <v>521</v>
      </c>
      <c r="B143" s="202" t="s">
        <v>480</v>
      </c>
      <c r="C143" s="292" t="s">
        <v>238</v>
      </c>
      <c r="D143" s="266">
        <v>2013</v>
      </c>
      <c r="E143" s="266">
        <v>2018</v>
      </c>
      <c r="F143" s="288">
        <f t="shared" si="48"/>
        <v>1571124</v>
      </c>
      <c r="G143" s="304">
        <f>34809+0+0+215865+20450</f>
        <v>271124</v>
      </c>
      <c r="H143" s="288">
        <f>0+1300000</f>
        <v>1300000</v>
      </c>
      <c r="I143" s="288">
        <v>0</v>
      </c>
      <c r="J143" s="288">
        <v>0</v>
      </c>
      <c r="K143" s="288">
        <v>0</v>
      </c>
      <c r="L143" s="294">
        <v>1300000</v>
      </c>
    </row>
    <row r="144" spans="1:12" s="147" customFormat="1" ht="14.25" customHeight="1">
      <c r="A144" s="243"/>
      <c r="B144" s="201" t="s">
        <v>353</v>
      </c>
      <c r="C144" s="293"/>
      <c r="D144" s="287"/>
      <c r="E144" s="287"/>
      <c r="F144" s="289"/>
      <c r="G144" s="287"/>
      <c r="H144" s="289"/>
      <c r="I144" s="289"/>
      <c r="J144" s="289"/>
      <c r="K144" s="289"/>
      <c r="L144" s="295"/>
    </row>
    <row r="145" spans="1:12" s="147" customFormat="1" ht="12.75">
      <c r="A145" s="243" t="s">
        <v>348</v>
      </c>
      <c r="B145" s="202" t="s">
        <v>355</v>
      </c>
      <c r="C145" s="292" t="s">
        <v>238</v>
      </c>
      <c r="D145" s="266">
        <v>2015</v>
      </c>
      <c r="E145" s="266">
        <v>2020</v>
      </c>
      <c r="F145" s="288">
        <f t="shared" si="48"/>
        <v>642889</v>
      </c>
      <c r="G145" s="304">
        <f>0+19889+23000+250000</f>
        <v>292889</v>
      </c>
      <c r="H145" s="294">
        <f>0+200000-200000</f>
        <v>0</v>
      </c>
      <c r="I145" s="294">
        <v>250000</v>
      </c>
      <c r="J145" s="294">
        <v>100000</v>
      </c>
      <c r="K145" s="294">
        <v>0</v>
      </c>
      <c r="L145" s="294">
        <f>550000-200000</f>
        <v>350000</v>
      </c>
    </row>
    <row r="146" spans="1:12" s="147" customFormat="1" ht="12" customHeight="1">
      <c r="A146" s="243"/>
      <c r="B146" s="201" t="s">
        <v>306</v>
      </c>
      <c r="C146" s="293"/>
      <c r="D146" s="287"/>
      <c r="E146" s="287"/>
      <c r="F146" s="289"/>
      <c r="G146" s="287"/>
      <c r="H146" s="295"/>
      <c r="I146" s="295"/>
      <c r="J146" s="295"/>
      <c r="K146" s="295"/>
      <c r="L146" s="295"/>
    </row>
    <row r="147" spans="1:12" s="147" customFormat="1" ht="14.25" customHeight="1">
      <c r="A147" s="243" t="s">
        <v>350</v>
      </c>
      <c r="B147" s="202" t="s">
        <v>362</v>
      </c>
      <c r="C147" s="292" t="s">
        <v>238</v>
      </c>
      <c r="D147" s="266">
        <v>2015</v>
      </c>
      <c r="E147" s="266">
        <v>2019</v>
      </c>
      <c r="F147" s="288">
        <f t="shared" si="48"/>
        <v>1891219</v>
      </c>
      <c r="G147" s="304">
        <f>0+155000+66219+25000-10332</f>
        <v>235887</v>
      </c>
      <c r="H147" s="294">
        <f>900000-200000-655000+10332</f>
        <v>55332</v>
      </c>
      <c r="I147" s="294">
        <f>0+1600000</f>
        <v>1600000</v>
      </c>
      <c r="J147" s="294">
        <v>0</v>
      </c>
      <c r="K147" s="294">
        <v>0</v>
      </c>
      <c r="L147" s="294">
        <v>1621000</v>
      </c>
    </row>
    <row r="148" spans="1:12" s="147" customFormat="1" ht="15" customHeight="1">
      <c r="A148" s="243"/>
      <c r="B148" s="201" t="s">
        <v>363</v>
      </c>
      <c r="C148" s="293"/>
      <c r="D148" s="287"/>
      <c r="E148" s="287"/>
      <c r="F148" s="289"/>
      <c r="G148" s="287"/>
      <c r="H148" s="295"/>
      <c r="I148" s="295"/>
      <c r="J148" s="295"/>
      <c r="K148" s="295"/>
      <c r="L148" s="295"/>
    </row>
    <row r="149" spans="1:12" s="147" customFormat="1" ht="16.5" customHeight="1">
      <c r="A149" s="243" t="s">
        <v>352</v>
      </c>
      <c r="B149" s="202" t="s">
        <v>368</v>
      </c>
      <c r="C149" s="292" t="s">
        <v>292</v>
      </c>
      <c r="D149" s="266">
        <v>2016</v>
      </c>
      <c r="E149" s="266">
        <v>2018</v>
      </c>
      <c r="F149" s="288">
        <f t="shared" si="48"/>
        <v>348966</v>
      </c>
      <c r="G149" s="304">
        <f>0+48966-48966+48966</f>
        <v>48966</v>
      </c>
      <c r="H149" s="294">
        <f>0+300000</f>
        <v>300000</v>
      </c>
      <c r="I149" s="294">
        <v>0</v>
      </c>
      <c r="J149" s="294">
        <v>0</v>
      </c>
      <c r="K149" s="294">
        <v>0</v>
      </c>
      <c r="L149" s="294">
        <f>300000</f>
        <v>300000</v>
      </c>
    </row>
    <row r="150" spans="1:12" s="147" customFormat="1" ht="12.75" customHeight="1">
      <c r="A150" s="243"/>
      <c r="B150" s="201" t="s">
        <v>369</v>
      </c>
      <c r="C150" s="293"/>
      <c r="D150" s="287"/>
      <c r="E150" s="287"/>
      <c r="F150" s="289"/>
      <c r="G150" s="287"/>
      <c r="H150" s="295"/>
      <c r="I150" s="295"/>
      <c r="J150" s="295"/>
      <c r="K150" s="295"/>
      <c r="L150" s="295"/>
    </row>
    <row r="151" spans="1:12" s="147" customFormat="1" ht="14.25" customHeight="1">
      <c r="A151" s="243" t="s">
        <v>522</v>
      </c>
      <c r="B151" s="202" t="s">
        <v>371</v>
      </c>
      <c r="C151" s="292" t="s">
        <v>292</v>
      </c>
      <c r="D151" s="266">
        <v>2015</v>
      </c>
      <c r="E151" s="266">
        <v>2019</v>
      </c>
      <c r="F151" s="288">
        <f t="shared" si="48"/>
        <v>776661</v>
      </c>
      <c r="G151" s="304">
        <f>0+521661</f>
        <v>521661</v>
      </c>
      <c r="H151" s="288">
        <v>5000</v>
      </c>
      <c r="I151" s="288">
        <v>250000</v>
      </c>
      <c r="J151" s="288">
        <v>0</v>
      </c>
      <c r="K151" s="288">
        <v>0</v>
      </c>
      <c r="L151" s="288">
        <v>255000</v>
      </c>
    </row>
    <row r="152" spans="1:12" s="147" customFormat="1" ht="15" customHeight="1">
      <c r="A152" s="243"/>
      <c r="B152" s="201" t="s">
        <v>369</v>
      </c>
      <c r="C152" s="293"/>
      <c r="D152" s="287"/>
      <c r="E152" s="287"/>
      <c r="F152" s="289"/>
      <c r="G152" s="287"/>
      <c r="H152" s="289"/>
      <c r="I152" s="289"/>
      <c r="J152" s="289"/>
      <c r="K152" s="289"/>
      <c r="L152" s="289"/>
    </row>
    <row r="153" spans="1:12" s="147" customFormat="1" ht="14.25" customHeight="1">
      <c r="A153" s="243" t="s">
        <v>523</v>
      </c>
      <c r="B153" s="202" t="s">
        <v>375</v>
      </c>
      <c r="C153" s="292" t="s">
        <v>238</v>
      </c>
      <c r="D153" s="266">
        <v>2016</v>
      </c>
      <c r="E153" s="266">
        <v>2018</v>
      </c>
      <c r="F153" s="288">
        <f t="shared" si="48"/>
        <v>356700</v>
      </c>
      <c r="G153" s="304">
        <f>0+106700</f>
        <v>106700</v>
      </c>
      <c r="H153" s="288">
        <f>0+250000</f>
        <v>250000</v>
      </c>
      <c r="I153" s="288">
        <v>0</v>
      </c>
      <c r="J153" s="288">
        <v>0</v>
      </c>
      <c r="K153" s="288">
        <v>0</v>
      </c>
      <c r="L153" s="288">
        <v>0</v>
      </c>
    </row>
    <row r="154" spans="1:12" s="147" customFormat="1" ht="13.5" customHeight="1">
      <c r="A154" s="243"/>
      <c r="B154" s="201" t="s">
        <v>376</v>
      </c>
      <c r="C154" s="293"/>
      <c r="D154" s="287"/>
      <c r="E154" s="287"/>
      <c r="F154" s="289"/>
      <c r="G154" s="287"/>
      <c r="H154" s="289"/>
      <c r="I154" s="289"/>
      <c r="J154" s="289"/>
      <c r="K154" s="289"/>
      <c r="L154" s="289"/>
    </row>
    <row r="155" spans="1:12" s="147" customFormat="1" ht="18" customHeight="1">
      <c r="A155" s="243" t="s">
        <v>354</v>
      </c>
      <c r="B155" s="202" t="s">
        <v>378</v>
      </c>
      <c r="C155" s="292" t="s">
        <v>238</v>
      </c>
      <c r="D155" s="266">
        <v>2014</v>
      </c>
      <c r="E155" s="266">
        <v>2019</v>
      </c>
      <c r="F155" s="288">
        <f t="shared" si="48"/>
        <v>4131770</v>
      </c>
      <c r="G155" s="304">
        <f>122000-230+0+10000</f>
        <v>131770</v>
      </c>
      <c r="H155" s="294">
        <v>1000000</v>
      </c>
      <c r="I155" s="294">
        <v>3000000</v>
      </c>
      <c r="J155" s="294">
        <v>0</v>
      </c>
      <c r="K155" s="294">
        <v>0</v>
      </c>
      <c r="L155" s="288">
        <v>3942350</v>
      </c>
    </row>
    <row r="156" spans="1:12" s="147" customFormat="1" ht="15" customHeight="1">
      <c r="A156" s="243"/>
      <c r="B156" s="201" t="s">
        <v>379</v>
      </c>
      <c r="C156" s="293"/>
      <c r="D156" s="287"/>
      <c r="E156" s="287"/>
      <c r="F156" s="289"/>
      <c r="G156" s="287"/>
      <c r="H156" s="295"/>
      <c r="I156" s="295"/>
      <c r="J156" s="295"/>
      <c r="K156" s="295"/>
      <c r="L156" s="289"/>
    </row>
    <row r="157" spans="1:12" s="204" customFormat="1" ht="15.75" customHeight="1">
      <c r="A157" s="243" t="s">
        <v>356</v>
      </c>
      <c r="B157" s="202" t="s">
        <v>517</v>
      </c>
      <c r="C157" s="292" t="s">
        <v>238</v>
      </c>
      <c r="D157" s="266">
        <v>2015</v>
      </c>
      <c r="E157" s="266">
        <v>2018</v>
      </c>
      <c r="F157" s="288">
        <f t="shared" si="48"/>
        <v>1067326</v>
      </c>
      <c r="G157" s="290">
        <f>867326+35424+64576</f>
        <v>967326</v>
      </c>
      <c r="H157" s="294">
        <f>600000-250000-250000</f>
        <v>100000</v>
      </c>
      <c r="I157" s="294">
        <f>0+3000000-3000000</f>
        <v>0</v>
      </c>
      <c r="J157" s="294">
        <f>2000000-2000000</f>
        <v>0</v>
      </c>
      <c r="K157" s="294">
        <v>0</v>
      </c>
      <c r="L157" s="294">
        <f>600000-250000-250000</f>
        <v>100000</v>
      </c>
    </row>
    <row r="158" spans="1:12" s="204" customFormat="1" ht="41.25" customHeight="1">
      <c r="A158" s="243"/>
      <c r="B158" s="201" t="s">
        <v>381</v>
      </c>
      <c r="C158" s="293"/>
      <c r="D158" s="287"/>
      <c r="E158" s="287"/>
      <c r="F158" s="289"/>
      <c r="G158" s="291"/>
      <c r="H158" s="295"/>
      <c r="I158" s="295"/>
      <c r="J158" s="295"/>
      <c r="K158" s="295"/>
      <c r="L158" s="295"/>
    </row>
    <row r="159" spans="1:12" s="233" customFormat="1" ht="15.75" customHeight="1">
      <c r="A159" s="243" t="s">
        <v>359</v>
      </c>
      <c r="B159" s="202" t="s">
        <v>387</v>
      </c>
      <c r="C159" s="292" t="s">
        <v>238</v>
      </c>
      <c r="D159" s="266">
        <v>2016</v>
      </c>
      <c r="E159" s="266">
        <v>2018</v>
      </c>
      <c r="F159" s="288">
        <f t="shared" ref="F159:F217" si="49">G159+H159+I159+J159</f>
        <v>350000</v>
      </c>
      <c r="G159" s="304">
        <f>0+42681</f>
        <v>42681</v>
      </c>
      <c r="H159" s="294">
        <f>150000+7319+150000</f>
        <v>307319</v>
      </c>
      <c r="I159" s="294">
        <v>0</v>
      </c>
      <c r="J159" s="294">
        <v>0</v>
      </c>
      <c r="K159" s="294">
        <v>0</v>
      </c>
      <c r="L159" s="294">
        <v>307319</v>
      </c>
    </row>
    <row r="160" spans="1:12" s="233" customFormat="1" ht="24.75" customHeight="1">
      <c r="A160" s="243"/>
      <c r="B160" s="201" t="s">
        <v>388</v>
      </c>
      <c r="C160" s="293"/>
      <c r="D160" s="287"/>
      <c r="E160" s="287"/>
      <c r="F160" s="289"/>
      <c r="G160" s="287"/>
      <c r="H160" s="295"/>
      <c r="I160" s="295"/>
      <c r="J160" s="295"/>
      <c r="K160" s="295"/>
      <c r="L160" s="295"/>
    </row>
    <row r="161" spans="1:12" s="147" customFormat="1" ht="12.75" customHeight="1">
      <c r="A161" s="243" t="s">
        <v>524</v>
      </c>
      <c r="B161" s="202" t="s">
        <v>390</v>
      </c>
      <c r="C161" s="292" t="s">
        <v>238</v>
      </c>
      <c r="D161" s="266">
        <v>2016</v>
      </c>
      <c r="E161" s="266">
        <v>2018</v>
      </c>
      <c r="F161" s="288">
        <f t="shared" si="49"/>
        <v>120000</v>
      </c>
      <c r="G161" s="304">
        <f>0+20000+23542</f>
        <v>43542</v>
      </c>
      <c r="H161" s="288">
        <f>0+76458</f>
        <v>76458</v>
      </c>
      <c r="I161" s="288">
        <v>0</v>
      </c>
      <c r="J161" s="288">
        <v>0</v>
      </c>
      <c r="K161" s="288">
        <v>0</v>
      </c>
      <c r="L161" s="288">
        <v>76458</v>
      </c>
    </row>
    <row r="162" spans="1:12" s="147" customFormat="1" ht="13.5" customHeight="1">
      <c r="A162" s="243"/>
      <c r="B162" s="201" t="s">
        <v>306</v>
      </c>
      <c r="C162" s="293"/>
      <c r="D162" s="287"/>
      <c r="E162" s="287"/>
      <c r="F162" s="289"/>
      <c r="G162" s="287"/>
      <c r="H162" s="289"/>
      <c r="I162" s="289"/>
      <c r="J162" s="289"/>
      <c r="K162" s="289"/>
      <c r="L162" s="289"/>
    </row>
    <row r="163" spans="1:12" s="147" customFormat="1" ht="18" customHeight="1">
      <c r="A163" s="243" t="s">
        <v>361</v>
      </c>
      <c r="B163" s="202" t="s">
        <v>392</v>
      </c>
      <c r="C163" s="292" t="s">
        <v>238</v>
      </c>
      <c r="D163" s="266">
        <v>2016</v>
      </c>
      <c r="E163" s="266">
        <v>2018</v>
      </c>
      <c r="F163" s="288">
        <f t="shared" si="49"/>
        <v>4039791</v>
      </c>
      <c r="G163" s="304">
        <f>589791+1800000-100000</f>
        <v>2289791</v>
      </c>
      <c r="H163" s="294">
        <f>850000+200000+600000+100000</f>
        <v>1750000</v>
      </c>
      <c r="I163" s="294">
        <f>1000000-1000000</f>
        <v>0</v>
      </c>
      <c r="J163" s="294">
        <v>0</v>
      </c>
      <c r="K163" s="294">
        <v>0</v>
      </c>
      <c r="L163" s="294">
        <v>548561</v>
      </c>
    </row>
    <row r="164" spans="1:12" s="147" customFormat="1" ht="12" customHeight="1">
      <c r="A164" s="243"/>
      <c r="B164" s="201" t="s">
        <v>306</v>
      </c>
      <c r="C164" s="293"/>
      <c r="D164" s="287"/>
      <c r="E164" s="287"/>
      <c r="F164" s="289"/>
      <c r="G164" s="287"/>
      <c r="H164" s="295"/>
      <c r="I164" s="295"/>
      <c r="J164" s="295"/>
      <c r="K164" s="295"/>
      <c r="L164" s="295"/>
    </row>
    <row r="165" spans="1:12" s="147" customFormat="1" ht="15" customHeight="1">
      <c r="A165" s="243" t="s">
        <v>364</v>
      </c>
      <c r="B165" s="202" t="s">
        <v>394</v>
      </c>
      <c r="C165" s="292" t="s">
        <v>238</v>
      </c>
      <c r="D165" s="266">
        <v>2016</v>
      </c>
      <c r="E165" s="266">
        <v>2018</v>
      </c>
      <c r="F165" s="288">
        <f t="shared" si="49"/>
        <v>107175</v>
      </c>
      <c r="G165" s="304">
        <f>0+44175+53000</f>
        <v>97175</v>
      </c>
      <c r="H165" s="288">
        <v>10000</v>
      </c>
      <c r="I165" s="288">
        <v>0</v>
      </c>
      <c r="J165" s="288">
        <v>0</v>
      </c>
      <c r="K165" s="288">
        <v>0</v>
      </c>
      <c r="L165" s="288">
        <v>10000</v>
      </c>
    </row>
    <row r="166" spans="1:12" s="147" customFormat="1" ht="14.25" customHeight="1">
      <c r="A166" s="243"/>
      <c r="B166" s="201" t="s">
        <v>306</v>
      </c>
      <c r="C166" s="293"/>
      <c r="D166" s="287"/>
      <c r="E166" s="287"/>
      <c r="F166" s="289"/>
      <c r="G166" s="287"/>
      <c r="H166" s="289"/>
      <c r="I166" s="289"/>
      <c r="J166" s="289"/>
      <c r="K166" s="289"/>
      <c r="L166" s="289"/>
    </row>
    <row r="167" spans="1:12" s="147" customFormat="1" ht="13.5" customHeight="1">
      <c r="A167" s="243" t="s">
        <v>366</v>
      </c>
      <c r="B167" s="202" t="s">
        <v>395</v>
      </c>
      <c r="C167" s="292" t="s">
        <v>238</v>
      </c>
      <c r="D167" s="266">
        <v>2016</v>
      </c>
      <c r="E167" s="266">
        <v>2018</v>
      </c>
      <c r="F167" s="288">
        <f t="shared" si="49"/>
        <v>339027</v>
      </c>
      <c r="G167" s="304">
        <f>0+79027+79117</f>
        <v>158144</v>
      </c>
      <c r="H167" s="288">
        <v>180883</v>
      </c>
      <c r="I167" s="288">
        <v>0</v>
      </c>
      <c r="J167" s="288">
        <v>0</v>
      </c>
      <c r="K167" s="288">
        <v>0</v>
      </c>
      <c r="L167" s="288">
        <v>180883</v>
      </c>
    </row>
    <row r="168" spans="1:12" s="147" customFormat="1" ht="20.25" customHeight="1">
      <c r="A168" s="243"/>
      <c r="B168" s="201" t="s">
        <v>306</v>
      </c>
      <c r="C168" s="293"/>
      <c r="D168" s="287"/>
      <c r="E168" s="287"/>
      <c r="F168" s="289"/>
      <c r="G168" s="287"/>
      <c r="H168" s="289"/>
      <c r="I168" s="289"/>
      <c r="J168" s="289"/>
      <c r="K168" s="289"/>
      <c r="L168" s="289"/>
    </row>
    <row r="169" spans="1:12" s="147" customFormat="1" ht="13.5" customHeight="1">
      <c r="A169" s="243" t="s">
        <v>367</v>
      </c>
      <c r="B169" s="202" t="s">
        <v>398</v>
      </c>
      <c r="C169" s="292" t="s">
        <v>238</v>
      </c>
      <c r="D169" s="266">
        <v>2016</v>
      </c>
      <c r="E169" s="266">
        <v>2018</v>
      </c>
      <c r="F169" s="288">
        <f t="shared" si="49"/>
        <v>107993</v>
      </c>
      <c r="G169" s="304">
        <f>0+39993+58000</f>
        <v>97993</v>
      </c>
      <c r="H169" s="288">
        <v>10000</v>
      </c>
      <c r="I169" s="288">
        <v>0</v>
      </c>
      <c r="J169" s="288">
        <v>0</v>
      </c>
      <c r="K169" s="288">
        <v>0</v>
      </c>
      <c r="L169" s="288">
        <v>10000</v>
      </c>
    </row>
    <row r="170" spans="1:12" s="147" customFormat="1" ht="13.5" customHeight="1">
      <c r="A170" s="243"/>
      <c r="B170" s="201" t="s">
        <v>306</v>
      </c>
      <c r="C170" s="293"/>
      <c r="D170" s="287"/>
      <c r="E170" s="287"/>
      <c r="F170" s="289"/>
      <c r="G170" s="287"/>
      <c r="H170" s="289"/>
      <c r="I170" s="289"/>
      <c r="J170" s="289"/>
      <c r="K170" s="289"/>
      <c r="L170" s="289"/>
    </row>
    <row r="171" spans="1:12" s="147" customFormat="1" ht="13.5" customHeight="1">
      <c r="A171" s="243" t="s">
        <v>370</v>
      </c>
      <c r="B171" s="202" t="s">
        <v>402</v>
      </c>
      <c r="C171" s="285" t="s">
        <v>238</v>
      </c>
      <c r="D171" s="266">
        <v>2016</v>
      </c>
      <c r="E171" s="266">
        <v>2020</v>
      </c>
      <c r="F171" s="288">
        <f t="shared" si="49"/>
        <v>1175201</v>
      </c>
      <c r="G171" s="304">
        <f>0+45000+230201-33252</f>
        <v>241949</v>
      </c>
      <c r="H171" s="288">
        <f>500000+33252</f>
        <v>533252</v>
      </c>
      <c r="I171" s="288">
        <v>200000</v>
      </c>
      <c r="J171" s="288">
        <v>200000</v>
      </c>
      <c r="K171" s="288">
        <v>0</v>
      </c>
      <c r="L171" s="288">
        <v>900000</v>
      </c>
    </row>
    <row r="172" spans="1:12" s="147" customFormat="1" ht="18.75" customHeight="1">
      <c r="A172" s="243"/>
      <c r="B172" s="201" t="s">
        <v>403</v>
      </c>
      <c r="C172" s="286"/>
      <c r="D172" s="287"/>
      <c r="E172" s="287"/>
      <c r="F172" s="289"/>
      <c r="G172" s="287"/>
      <c r="H172" s="289"/>
      <c r="I172" s="289"/>
      <c r="J172" s="289"/>
      <c r="K172" s="289"/>
      <c r="L172" s="289"/>
    </row>
    <row r="173" spans="1:12" s="147" customFormat="1" ht="15" customHeight="1">
      <c r="A173" s="243" t="s">
        <v>372</v>
      </c>
      <c r="B173" s="202" t="s">
        <v>407</v>
      </c>
      <c r="C173" s="285" t="s">
        <v>292</v>
      </c>
      <c r="D173" s="266">
        <v>2017</v>
      </c>
      <c r="E173" s="266">
        <v>2018</v>
      </c>
      <c r="F173" s="288">
        <f t="shared" si="49"/>
        <v>117000</v>
      </c>
      <c r="G173" s="304">
        <f>0+5000</f>
        <v>5000</v>
      </c>
      <c r="H173" s="288">
        <v>112000</v>
      </c>
      <c r="I173" s="288">
        <v>0</v>
      </c>
      <c r="J173" s="288">
        <v>0</v>
      </c>
      <c r="K173" s="288">
        <v>0</v>
      </c>
      <c r="L173" s="288">
        <v>112000</v>
      </c>
    </row>
    <row r="174" spans="1:12" s="147" customFormat="1" ht="27" customHeight="1">
      <c r="A174" s="243"/>
      <c r="B174" s="201" t="s">
        <v>408</v>
      </c>
      <c r="C174" s="286"/>
      <c r="D174" s="287"/>
      <c r="E174" s="287"/>
      <c r="F174" s="289"/>
      <c r="G174" s="287"/>
      <c r="H174" s="289"/>
      <c r="I174" s="289"/>
      <c r="J174" s="289"/>
      <c r="K174" s="289"/>
      <c r="L174" s="289"/>
    </row>
    <row r="175" spans="1:12" s="147" customFormat="1" ht="15.75" customHeight="1">
      <c r="A175" s="243" t="s">
        <v>374</v>
      </c>
      <c r="B175" s="202" t="s">
        <v>410</v>
      </c>
      <c r="C175" s="285" t="s">
        <v>238</v>
      </c>
      <c r="D175" s="266">
        <v>2018</v>
      </c>
      <c r="E175" s="266">
        <v>2020</v>
      </c>
      <c r="F175" s="288">
        <f t="shared" si="49"/>
        <v>1350000</v>
      </c>
      <c r="G175" s="304">
        <v>0</v>
      </c>
      <c r="H175" s="288">
        <f>150000+150000-200000</f>
        <v>100000</v>
      </c>
      <c r="I175" s="288">
        <f>950000-650000</f>
        <v>300000</v>
      </c>
      <c r="J175" s="288">
        <f>0+950000</f>
        <v>950000</v>
      </c>
      <c r="K175" s="288">
        <v>0</v>
      </c>
      <c r="L175" s="288">
        <f>450000+900000</f>
        <v>1350000</v>
      </c>
    </row>
    <row r="176" spans="1:12" s="147" customFormat="1" ht="26.25" customHeight="1">
      <c r="A176" s="243"/>
      <c r="B176" s="201" t="s">
        <v>411</v>
      </c>
      <c r="C176" s="286"/>
      <c r="D176" s="287"/>
      <c r="E176" s="287"/>
      <c r="F176" s="289"/>
      <c r="G176" s="287"/>
      <c r="H176" s="289"/>
      <c r="I176" s="289"/>
      <c r="J176" s="289"/>
      <c r="K176" s="289"/>
      <c r="L176" s="289"/>
    </row>
    <row r="177" spans="1:12" s="147" customFormat="1" ht="15.75" customHeight="1">
      <c r="A177" s="243" t="s">
        <v>377</v>
      </c>
      <c r="B177" s="202" t="s">
        <v>413</v>
      </c>
      <c r="C177" s="285" t="s">
        <v>238</v>
      </c>
      <c r="D177" s="266">
        <v>2017</v>
      </c>
      <c r="E177" s="266">
        <v>2019</v>
      </c>
      <c r="F177" s="288">
        <f t="shared" si="49"/>
        <v>943500</v>
      </c>
      <c r="G177" s="304">
        <f>0+77684</f>
        <v>77684</v>
      </c>
      <c r="H177" s="288">
        <f>547000+17316</f>
        <v>564316</v>
      </c>
      <c r="I177" s="288">
        <v>301500</v>
      </c>
      <c r="J177" s="288">
        <v>0</v>
      </c>
      <c r="K177" s="288">
        <v>0</v>
      </c>
      <c r="L177" s="288">
        <v>865816</v>
      </c>
    </row>
    <row r="178" spans="1:12" s="147" customFormat="1" ht="13.5" customHeight="1">
      <c r="A178" s="243"/>
      <c r="B178" s="201" t="s">
        <v>414</v>
      </c>
      <c r="C178" s="286"/>
      <c r="D178" s="287"/>
      <c r="E178" s="287"/>
      <c r="F178" s="289"/>
      <c r="G178" s="287"/>
      <c r="H178" s="289"/>
      <c r="I178" s="289"/>
      <c r="J178" s="289"/>
      <c r="K178" s="289"/>
      <c r="L178" s="289"/>
    </row>
    <row r="179" spans="1:12" s="147" customFormat="1" ht="27" customHeight="1">
      <c r="A179" s="243" t="s">
        <v>380</v>
      </c>
      <c r="B179" s="202" t="s">
        <v>416</v>
      </c>
      <c r="C179" s="285" t="s">
        <v>238</v>
      </c>
      <c r="D179" s="266">
        <v>2016</v>
      </c>
      <c r="E179" s="266">
        <v>2019</v>
      </c>
      <c r="F179" s="288">
        <f t="shared" si="49"/>
        <v>4346447</v>
      </c>
      <c r="G179" s="304">
        <f>150000+313656-26553-121770</f>
        <v>315333</v>
      </c>
      <c r="H179" s="288">
        <f>1731000+198344+121770</f>
        <v>2051114</v>
      </c>
      <c r="I179" s="288">
        <v>1980000</v>
      </c>
      <c r="J179" s="288">
        <v>0</v>
      </c>
      <c r="K179" s="288">
        <v>0</v>
      </c>
      <c r="L179" s="294">
        <v>3906880</v>
      </c>
    </row>
    <row r="180" spans="1:12" s="147" customFormat="1" ht="14.25" customHeight="1">
      <c r="A180" s="243"/>
      <c r="B180" s="201" t="s">
        <v>417</v>
      </c>
      <c r="C180" s="286"/>
      <c r="D180" s="287"/>
      <c r="E180" s="287"/>
      <c r="F180" s="289"/>
      <c r="G180" s="287"/>
      <c r="H180" s="289"/>
      <c r="I180" s="289"/>
      <c r="J180" s="289"/>
      <c r="K180" s="289"/>
      <c r="L180" s="295"/>
    </row>
    <row r="181" spans="1:12" s="147" customFormat="1" ht="12.75" customHeight="1">
      <c r="A181" s="243" t="s">
        <v>382</v>
      </c>
      <c r="B181" s="202" t="s">
        <v>458</v>
      </c>
      <c r="C181" s="285" t="s">
        <v>238</v>
      </c>
      <c r="D181" s="266">
        <v>2013</v>
      </c>
      <c r="E181" s="266">
        <v>2019</v>
      </c>
      <c r="F181" s="288">
        <f t="shared" ref="F181" si="50">G181+H181+I181+J181</f>
        <v>1781922</v>
      </c>
      <c r="G181" s="304">
        <f>67638-35974+70354-8610</f>
        <v>93408</v>
      </c>
      <c r="H181" s="288">
        <f>45000+24904+8610</f>
        <v>78514</v>
      </c>
      <c r="I181" s="288">
        <v>1610000</v>
      </c>
      <c r="J181" s="288">
        <v>0</v>
      </c>
      <c r="K181" s="288">
        <v>0</v>
      </c>
      <c r="L181" s="294">
        <v>1679904</v>
      </c>
    </row>
    <row r="182" spans="1:12" s="147" customFormat="1" ht="12.75" customHeight="1">
      <c r="A182" s="243"/>
      <c r="B182" s="201" t="s">
        <v>459</v>
      </c>
      <c r="C182" s="286"/>
      <c r="D182" s="287"/>
      <c r="E182" s="287"/>
      <c r="F182" s="289"/>
      <c r="G182" s="287"/>
      <c r="H182" s="289"/>
      <c r="I182" s="289"/>
      <c r="J182" s="289"/>
      <c r="K182" s="289"/>
      <c r="L182" s="295"/>
    </row>
    <row r="183" spans="1:12" s="147" customFormat="1" ht="12.75">
      <c r="A183" s="243" t="s">
        <v>385</v>
      </c>
      <c r="B183" s="202" t="s">
        <v>418</v>
      </c>
      <c r="C183" s="285" t="s">
        <v>238</v>
      </c>
      <c r="D183" s="266">
        <v>2017</v>
      </c>
      <c r="E183" s="266">
        <v>2018</v>
      </c>
      <c r="F183" s="288">
        <f t="shared" si="49"/>
        <v>390000</v>
      </c>
      <c r="G183" s="304">
        <f>0+40000</f>
        <v>40000</v>
      </c>
      <c r="H183" s="288">
        <v>350000</v>
      </c>
      <c r="I183" s="288">
        <v>0</v>
      </c>
      <c r="J183" s="288">
        <v>0</v>
      </c>
      <c r="K183" s="288">
        <v>0</v>
      </c>
      <c r="L183" s="288">
        <v>350000</v>
      </c>
    </row>
    <row r="184" spans="1:12" s="147" customFormat="1" ht="12.75" customHeight="1">
      <c r="A184" s="243"/>
      <c r="B184" s="201" t="s">
        <v>347</v>
      </c>
      <c r="C184" s="286"/>
      <c r="D184" s="287"/>
      <c r="E184" s="287"/>
      <c r="F184" s="289"/>
      <c r="G184" s="287"/>
      <c r="H184" s="289"/>
      <c r="I184" s="289"/>
      <c r="J184" s="289"/>
      <c r="K184" s="289"/>
      <c r="L184" s="289"/>
    </row>
    <row r="185" spans="1:12" s="147" customFormat="1" ht="15.75" customHeight="1">
      <c r="A185" s="243" t="s">
        <v>386</v>
      </c>
      <c r="B185" s="202" t="s">
        <v>346</v>
      </c>
      <c r="C185" s="292" t="s">
        <v>238</v>
      </c>
      <c r="D185" s="266">
        <v>2017</v>
      </c>
      <c r="E185" s="266">
        <v>2018</v>
      </c>
      <c r="F185" s="288">
        <f t="shared" ref="F185" si="51">G185+H185+I185+J185</f>
        <v>490000</v>
      </c>
      <c r="G185" s="304">
        <f>0+40000</f>
        <v>40000</v>
      </c>
      <c r="H185" s="288">
        <f>20000+430000</f>
        <v>450000</v>
      </c>
      <c r="I185" s="288">
        <v>0</v>
      </c>
      <c r="J185" s="288">
        <v>0</v>
      </c>
      <c r="K185" s="288">
        <v>0</v>
      </c>
      <c r="L185" s="294">
        <v>420000</v>
      </c>
    </row>
    <row r="186" spans="1:12" s="147" customFormat="1" ht="12.75" customHeight="1">
      <c r="A186" s="243"/>
      <c r="B186" s="201" t="s">
        <v>347</v>
      </c>
      <c r="C186" s="293"/>
      <c r="D186" s="287"/>
      <c r="E186" s="287"/>
      <c r="F186" s="289"/>
      <c r="G186" s="287"/>
      <c r="H186" s="289"/>
      <c r="I186" s="289"/>
      <c r="J186" s="289"/>
      <c r="K186" s="289"/>
      <c r="L186" s="295"/>
    </row>
    <row r="187" spans="1:12" s="147" customFormat="1" ht="13.5" customHeight="1">
      <c r="A187" s="243" t="s">
        <v>389</v>
      </c>
      <c r="B187" s="202" t="s">
        <v>506</v>
      </c>
      <c r="C187" s="285" t="s">
        <v>238</v>
      </c>
      <c r="D187" s="266">
        <v>2017</v>
      </c>
      <c r="E187" s="266">
        <v>2018</v>
      </c>
      <c r="F187" s="288">
        <f t="shared" ref="F187" si="52">G187+H187+I187+J187</f>
        <v>340000</v>
      </c>
      <c r="G187" s="304">
        <v>40000</v>
      </c>
      <c r="H187" s="288">
        <v>300000</v>
      </c>
      <c r="I187" s="288">
        <v>0</v>
      </c>
      <c r="J187" s="288">
        <v>0</v>
      </c>
      <c r="K187" s="288">
        <v>0</v>
      </c>
      <c r="L187" s="294">
        <v>300000</v>
      </c>
    </row>
    <row r="188" spans="1:12" s="147" customFormat="1" ht="16.5" customHeight="1">
      <c r="A188" s="243"/>
      <c r="B188" s="201" t="s">
        <v>347</v>
      </c>
      <c r="C188" s="286"/>
      <c r="D188" s="287"/>
      <c r="E188" s="287"/>
      <c r="F188" s="289"/>
      <c r="G188" s="287"/>
      <c r="H188" s="289"/>
      <c r="I188" s="289"/>
      <c r="J188" s="289"/>
      <c r="K188" s="289"/>
      <c r="L188" s="295"/>
    </row>
    <row r="189" spans="1:12" s="147" customFormat="1" ht="12.75">
      <c r="A189" s="243" t="s">
        <v>391</v>
      </c>
      <c r="B189" s="202" t="s">
        <v>420</v>
      </c>
      <c r="C189" s="285" t="s">
        <v>292</v>
      </c>
      <c r="D189" s="266">
        <v>2017</v>
      </c>
      <c r="E189" s="266">
        <v>2018</v>
      </c>
      <c r="F189" s="288">
        <f t="shared" si="49"/>
        <v>290000</v>
      </c>
      <c r="G189" s="304">
        <f>0+40000</f>
        <v>40000</v>
      </c>
      <c r="H189" s="288">
        <f>450000-200000</f>
        <v>250000</v>
      </c>
      <c r="I189" s="288">
        <v>0</v>
      </c>
      <c r="J189" s="288">
        <v>0</v>
      </c>
      <c r="K189" s="288">
        <v>0</v>
      </c>
      <c r="L189" s="288">
        <f>450000-200000</f>
        <v>250000</v>
      </c>
    </row>
    <row r="190" spans="1:12" s="147" customFormat="1" ht="12.75" customHeight="1">
      <c r="A190" s="243"/>
      <c r="B190" s="201" t="s">
        <v>421</v>
      </c>
      <c r="C190" s="286"/>
      <c r="D190" s="287"/>
      <c r="E190" s="287"/>
      <c r="F190" s="289"/>
      <c r="G190" s="287"/>
      <c r="H190" s="289"/>
      <c r="I190" s="289"/>
      <c r="J190" s="289"/>
      <c r="K190" s="289"/>
      <c r="L190" s="289"/>
    </row>
    <row r="191" spans="1:12" s="147" customFormat="1" ht="14.25" customHeight="1">
      <c r="A191" s="243" t="s">
        <v>393</v>
      </c>
      <c r="B191" s="202" t="s">
        <v>371</v>
      </c>
      <c r="C191" s="285" t="s">
        <v>238</v>
      </c>
      <c r="D191" s="266">
        <v>2016</v>
      </c>
      <c r="E191" s="266">
        <v>2018</v>
      </c>
      <c r="F191" s="288">
        <f t="shared" si="49"/>
        <v>98800</v>
      </c>
      <c r="G191" s="304">
        <f>46177+27135</f>
        <v>73312</v>
      </c>
      <c r="H191" s="288">
        <f>0+25488</f>
        <v>25488</v>
      </c>
      <c r="I191" s="288">
        <v>0</v>
      </c>
      <c r="J191" s="288">
        <v>0</v>
      </c>
      <c r="K191" s="288">
        <v>0</v>
      </c>
      <c r="L191" s="294">
        <v>0</v>
      </c>
    </row>
    <row r="192" spans="1:12" s="147" customFormat="1" ht="25.5" customHeight="1">
      <c r="A192" s="243"/>
      <c r="B192" s="201" t="s">
        <v>424</v>
      </c>
      <c r="C192" s="286"/>
      <c r="D192" s="287"/>
      <c r="E192" s="287"/>
      <c r="F192" s="289"/>
      <c r="G192" s="287"/>
      <c r="H192" s="289"/>
      <c r="I192" s="289"/>
      <c r="J192" s="289"/>
      <c r="K192" s="289"/>
      <c r="L192" s="295"/>
    </row>
    <row r="193" spans="1:12" s="147" customFormat="1" ht="14.25" customHeight="1">
      <c r="A193" s="243" t="s">
        <v>525</v>
      </c>
      <c r="B193" s="202" t="s">
        <v>426</v>
      </c>
      <c r="C193" s="285" t="s">
        <v>238</v>
      </c>
      <c r="D193" s="266">
        <v>2012</v>
      </c>
      <c r="E193" s="266">
        <v>2018</v>
      </c>
      <c r="F193" s="288">
        <f t="shared" si="49"/>
        <v>2036104</v>
      </c>
      <c r="G193" s="304">
        <f>536104+489722</f>
        <v>1025826</v>
      </c>
      <c r="H193" s="288">
        <f>500000+510278</f>
        <v>1010278</v>
      </c>
      <c r="I193" s="288">
        <v>0</v>
      </c>
      <c r="J193" s="288">
        <v>0</v>
      </c>
      <c r="K193" s="288">
        <v>0</v>
      </c>
      <c r="L193" s="294">
        <v>482886</v>
      </c>
    </row>
    <row r="194" spans="1:12" s="147" customFormat="1" ht="14.25" customHeight="1">
      <c r="A194" s="243"/>
      <c r="B194" s="201" t="s">
        <v>306</v>
      </c>
      <c r="C194" s="286"/>
      <c r="D194" s="287"/>
      <c r="E194" s="287"/>
      <c r="F194" s="289"/>
      <c r="G194" s="287"/>
      <c r="H194" s="289"/>
      <c r="I194" s="289"/>
      <c r="J194" s="289"/>
      <c r="K194" s="289"/>
      <c r="L194" s="295"/>
    </row>
    <row r="195" spans="1:12" s="147" customFormat="1" ht="14.25" customHeight="1">
      <c r="A195" s="243" t="s">
        <v>396</v>
      </c>
      <c r="B195" s="202" t="s">
        <v>428</v>
      </c>
      <c r="C195" s="285" t="s">
        <v>238</v>
      </c>
      <c r="D195" s="266">
        <v>2017</v>
      </c>
      <c r="E195" s="266">
        <v>2018</v>
      </c>
      <c r="F195" s="288">
        <f t="shared" si="49"/>
        <v>300000</v>
      </c>
      <c r="G195" s="304">
        <v>0</v>
      </c>
      <c r="H195" s="288">
        <f>200000+100000</f>
        <v>300000</v>
      </c>
      <c r="I195" s="288">
        <v>0</v>
      </c>
      <c r="J195" s="288">
        <v>0</v>
      </c>
      <c r="K195" s="288">
        <v>0</v>
      </c>
      <c r="L195" s="294">
        <v>300000</v>
      </c>
    </row>
    <row r="196" spans="1:12" s="147" customFormat="1" ht="13.5" customHeight="1">
      <c r="A196" s="243"/>
      <c r="B196" s="201" t="s">
        <v>306</v>
      </c>
      <c r="C196" s="286"/>
      <c r="D196" s="287"/>
      <c r="E196" s="287"/>
      <c r="F196" s="289"/>
      <c r="G196" s="287"/>
      <c r="H196" s="289"/>
      <c r="I196" s="289"/>
      <c r="J196" s="289"/>
      <c r="K196" s="289"/>
      <c r="L196" s="295"/>
    </row>
    <row r="197" spans="1:12" s="147" customFormat="1" ht="14.25" customHeight="1">
      <c r="A197" s="243" t="s">
        <v>397</v>
      </c>
      <c r="B197" s="202" t="s">
        <v>430</v>
      </c>
      <c r="C197" s="285" t="s">
        <v>238</v>
      </c>
      <c r="D197" s="266">
        <v>2015</v>
      </c>
      <c r="E197" s="266">
        <v>2018</v>
      </c>
      <c r="F197" s="288">
        <f t="shared" si="49"/>
        <v>175773</v>
      </c>
      <c r="G197" s="304">
        <f>76516+7257</f>
        <v>83773</v>
      </c>
      <c r="H197" s="288">
        <v>92000</v>
      </c>
      <c r="I197" s="288">
        <v>0</v>
      </c>
      <c r="J197" s="288">
        <v>0</v>
      </c>
      <c r="K197" s="288">
        <v>0</v>
      </c>
      <c r="L197" s="294">
        <v>92000</v>
      </c>
    </row>
    <row r="198" spans="1:12" s="147" customFormat="1" ht="15.75" customHeight="1">
      <c r="A198" s="243"/>
      <c r="B198" s="201" t="s">
        <v>306</v>
      </c>
      <c r="C198" s="286"/>
      <c r="D198" s="287"/>
      <c r="E198" s="287"/>
      <c r="F198" s="289"/>
      <c r="G198" s="287"/>
      <c r="H198" s="289"/>
      <c r="I198" s="289"/>
      <c r="J198" s="289"/>
      <c r="K198" s="289"/>
      <c r="L198" s="295"/>
    </row>
    <row r="199" spans="1:12" s="147" customFormat="1" ht="14.25" customHeight="1">
      <c r="A199" s="243" t="s">
        <v>526</v>
      </c>
      <c r="B199" s="202" t="s">
        <v>431</v>
      </c>
      <c r="C199" s="285" t="s">
        <v>238</v>
      </c>
      <c r="D199" s="266">
        <v>2008</v>
      </c>
      <c r="E199" s="266">
        <v>2018</v>
      </c>
      <c r="F199" s="288">
        <f t="shared" si="49"/>
        <v>139646</v>
      </c>
      <c r="G199" s="304">
        <f>29646+35000</f>
        <v>64646</v>
      </c>
      <c r="H199" s="288">
        <v>75000</v>
      </c>
      <c r="I199" s="288">
        <v>0</v>
      </c>
      <c r="J199" s="288">
        <v>0</v>
      </c>
      <c r="K199" s="288">
        <v>0</v>
      </c>
      <c r="L199" s="294">
        <v>700</v>
      </c>
    </row>
    <row r="200" spans="1:12" s="147" customFormat="1" ht="11.25" customHeight="1">
      <c r="A200" s="243"/>
      <c r="B200" s="201" t="s">
        <v>306</v>
      </c>
      <c r="C200" s="286"/>
      <c r="D200" s="287"/>
      <c r="E200" s="287"/>
      <c r="F200" s="289"/>
      <c r="G200" s="287"/>
      <c r="H200" s="289"/>
      <c r="I200" s="289"/>
      <c r="J200" s="289"/>
      <c r="K200" s="289"/>
      <c r="L200" s="295"/>
    </row>
    <row r="201" spans="1:12" s="147" customFormat="1" ht="27" customHeight="1">
      <c r="A201" s="243" t="s">
        <v>527</v>
      </c>
      <c r="B201" s="202" t="s">
        <v>433</v>
      </c>
      <c r="C201" s="285" t="s">
        <v>292</v>
      </c>
      <c r="D201" s="266">
        <v>2014</v>
      </c>
      <c r="E201" s="266">
        <v>2018</v>
      </c>
      <c r="F201" s="288">
        <f t="shared" si="49"/>
        <v>444868</v>
      </c>
      <c r="G201" s="304">
        <f>334868+10000</f>
        <v>344868</v>
      </c>
      <c r="H201" s="288">
        <f>0+100000</f>
        <v>100000</v>
      </c>
      <c r="I201" s="288">
        <v>0</v>
      </c>
      <c r="J201" s="288">
        <v>0</v>
      </c>
      <c r="K201" s="288">
        <v>0</v>
      </c>
      <c r="L201" s="294">
        <v>100000</v>
      </c>
    </row>
    <row r="202" spans="1:12" s="147" customFormat="1" ht="29.25" customHeight="1">
      <c r="A202" s="243"/>
      <c r="B202" s="201" t="s">
        <v>434</v>
      </c>
      <c r="C202" s="286"/>
      <c r="D202" s="287"/>
      <c r="E202" s="287"/>
      <c r="F202" s="289"/>
      <c r="G202" s="287"/>
      <c r="H202" s="289"/>
      <c r="I202" s="289"/>
      <c r="J202" s="289"/>
      <c r="K202" s="289"/>
      <c r="L202" s="295"/>
    </row>
    <row r="203" spans="1:12" s="147" customFormat="1" ht="16.5" customHeight="1">
      <c r="A203" s="243" t="s">
        <v>528</v>
      </c>
      <c r="B203" s="202" t="s">
        <v>437</v>
      </c>
      <c r="C203" s="285" t="s">
        <v>266</v>
      </c>
      <c r="D203" s="266">
        <v>2014</v>
      </c>
      <c r="E203" s="266">
        <v>2018</v>
      </c>
      <c r="F203" s="288">
        <f t="shared" si="49"/>
        <v>1275478</v>
      </c>
      <c r="G203" s="304">
        <f>982271+140207</f>
        <v>1122478</v>
      </c>
      <c r="H203" s="288">
        <v>153000</v>
      </c>
      <c r="I203" s="288">
        <v>0</v>
      </c>
      <c r="J203" s="288">
        <v>0</v>
      </c>
      <c r="K203" s="288">
        <v>0</v>
      </c>
      <c r="L203" s="294">
        <v>153000</v>
      </c>
    </row>
    <row r="204" spans="1:12" s="147" customFormat="1" ht="13.5" customHeight="1">
      <c r="A204" s="243"/>
      <c r="B204" s="201" t="s">
        <v>438</v>
      </c>
      <c r="C204" s="286"/>
      <c r="D204" s="287"/>
      <c r="E204" s="287"/>
      <c r="F204" s="289"/>
      <c r="G204" s="287"/>
      <c r="H204" s="289"/>
      <c r="I204" s="289"/>
      <c r="J204" s="289"/>
      <c r="K204" s="289"/>
      <c r="L204" s="295"/>
    </row>
    <row r="205" spans="1:12" s="147" customFormat="1" ht="12.75" customHeight="1">
      <c r="A205" s="243" t="s">
        <v>401</v>
      </c>
      <c r="B205" s="202" t="s">
        <v>445</v>
      </c>
      <c r="C205" s="285" t="s">
        <v>238</v>
      </c>
      <c r="D205" s="266">
        <v>2017</v>
      </c>
      <c r="E205" s="266">
        <v>2018</v>
      </c>
      <c r="F205" s="288">
        <f t="shared" si="49"/>
        <v>95500</v>
      </c>
      <c r="G205" s="304">
        <f>0+5200</f>
        <v>5200</v>
      </c>
      <c r="H205" s="288">
        <f>89000+1300</f>
        <v>90300</v>
      </c>
      <c r="I205" s="288">
        <v>0</v>
      </c>
      <c r="J205" s="288">
        <v>0</v>
      </c>
      <c r="K205" s="288">
        <v>0</v>
      </c>
      <c r="L205" s="294">
        <v>90300</v>
      </c>
    </row>
    <row r="206" spans="1:12" s="147" customFormat="1" ht="15" customHeight="1">
      <c r="A206" s="243"/>
      <c r="B206" s="201" t="s">
        <v>441</v>
      </c>
      <c r="C206" s="286"/>
      <c r="D206" s="287"/>
      <c r="E206" s="287"/>
      <c r="F206" s="289"/>
      <c r="G206" s="287"/>
      <c r="H206" s="289"/>
      <c r="I206" s="289"/>
      <c r="J206" s="289"/>
      <c r="K206" s="289"/>
      <c r="L206" s="295"/>
    </row>
    <row r="207" spans="1:12" s="147" customFormat="1" ht="30" customHeight="1">
      <c r="A207" s="243" t="s">
        <v>529</v>
      </c>
      <c r="B207" s="202" t="s">
        <v>453</v>
      </c>
      <c r="C207" s="285" t="s">
        <v>238</v>
      </c>
      <c r="D207" s="266">
        <v>2017</v>
      </c>
      <c r="E207" s="266">
        <v>2019</v>
      </c>
      <c r="F207" s="288">
        <f t="shared" si="49"/>
        <v>6795100</v>
      </c>
      <c r="G207" s="304">
        <f>0+8733</f>
        <v>8733</v>
      </c>
      <c r="H207" s="288">
        <f>1571100+6267</f>
        <v>1577367</v>
      </c>
      <c r="I207" s="288">
        <v>5209000</v>
      </c>
      <c r="J207" s="288">
        <v>0</v>
      </c>
      <c r="K207" s="288">
        <v>0</v>
      </c>
      <c r="L207" s="294">
        <v>6786367</v>
      </c>
    </row>
    <row r="208" spans="1:12" s="147" customFormat="1" ht="33.75" customHeight="1">
      <c r="A208" s="243"/>
      <c r="B208" s="201" t="s">
        <v>454</v>
      </c>
      <c r="C208" s="286"/>
      <c r="D208" s="287"/>
      <c r="E208" s="287"/>
      <c r="F208" s="289"/>
      <c r="G208" s="287"/>
      <c r="H208" s="289"/>
      <c r="I208" s="289"/>
      <c r="J208" s="289"/>
      <c r="K208" s="289"/>
      <c r="L208" s="295"/>
    </row>
    <row r="209" spans="1:12" s="147" customFormat="1" ht="18" customHeight="1">
      <c r="A209" s="243" t="s">
        <v>530</v>
      </c>
      <c r="B209" s="202" t="s">
        <v>383</v>
      </c>
      <c r="C209" s="292" t="s">
        <v>238</v>
      </c>
      <c r="D209" s="266">
        <v>2016</v>
      </c>
      <c r="E209" s="266">
        <v>2019</v>
      </c>
      <c r="F209" s="288">
        <f t="shared" ref="F209" si="53">G209+H209+I209+J209</f>
        <v>1832245</v>
      </c>
      <c r="G209" s="304">
        <f>0+38745+47478</f>
        <v>86223</v>
      </c>
      <c r="H209" s="288">
        <f>0+1146000+6522</f>
        <v>1152522</v>
      </c>
      <c r="I209" s="288">
        <f>0+593500</f>
        <v>593500</v>
      </c>
      <c r="J209" s="288">
        <v>0</v>
      </c>
      <c r="K209" s="288">
        <v>0</v>
      </c>
      <c r="L209" s="288">
        <v>1746022</v>
      </c>
    </row>
    <row r="210" spans="1:12" s="147" customFormat="1" ht="21" customHeight="1">
      <c r="A210" s="243"/>
      <c r="B210" s="201" t="s">
        <v>384</v>
      </c>
      <c r="C210" s="293"/>
      <c r="D210" s="287"/>
      <c r="E210" s="287"/>
      <c r="F210" s="289"/>
      <c r="G210" s="287"/>
      <c r="H210" s="289"/>
      <c r="I210" s="289"/>
      <c r="J210" s="289"/>
      <c r="K210" s="289"/>
      <c r="L210" s="289"/>
    </row>
    <row r="211" spans="1:12" s="147" customFormat="1" ht="25.5" customHeight="1">
      <c r="A211" s="243" t="s">
        <v>404</v>
      </c>
      <c r="B211" s="202" t="s">
        <v>357</v>
      </c>
      <c r="C211" s="292" t="s">
        <v>238</v>
      </c>
      <c r="D211" s="266">
        <v>2016</v>
      </c>
      <c r="E211" s="266">
        <v>2019</v>
      </c>
      <c r="F211" s="288">
        <f t="shared" ref="F211" si="54">G211+H211+I211+J211</f>
        <v>1919500</v>
      </c>
      <c r="G211" s="304">
        <f>0+12731</f>
        <v>12731</v>
      </c>
      <c r="H211" s="288">
        <f>0+1254500+2269</f>
        <v>1256769</v>
      </c>
      <c r="I211" s="288">
        <f>0+650000</f>
        <v>650000</v>
      </c>
      <c r="J211" s="288">
        <v>0</v>
      </c>
      <c r="K211" s="288">
        <v>0</v>
      </c>
      <c r="L211" s="288">
        <v>1906769</v>
      </c>
    </row>
    <row r="212" spans="1:12" s="147" customFormat="1" ht="19.5" customHeight="1">
      <c r="A212" s="243"/>
      <c r="B212" s="201" t="s">
        <v>358</v>
      </c>
      <c r="C212" s="293"/>
      <c r="D212" s="287"/>
      <c r="E212" s="287"/>
      <c r="F212" s="289"/>
      <c r="G212" s="287"/>
      <c r="H212" s="289"/>
      <c r="I212" s="289"/>
      <c r="J212" s="289"/>
      <c r="K212" s="289"/>
      <c r="L212" s="289"/>
    </row>
    <row r="213" spans="1:12" s="147" customFormat="1" ht="26.25" customHeight="1">
      <c r="A213" s="243" t="s">
        <v>405</v>
      </c>
      <c r="B213" s="202" t="s">
        <v>360</v>
      </c>
      <c r="C213" s="292" t="s">
        <v>238</v>
      </c>
      <c r="D213" s="266">
        <v>2016</v>
      </c>
      <c r="E213" s="266">
        <v>2019</v>
      </c>
      <c r="F213" s="288">
        <f t="shared" ref="F213" si="55">G213+H213+I213+J213</f>
        <v>5903500</v>
      </c>
      <c r="G213" s="304">
        <f>0+9041</f>
        <v>9041</v>
      </c>
      <c r="H213" s="288">
        <f>0+1352500+5959</f>
        <v>1358459</v>
      </c>
      <c r="I213" s="288">
        <f>0+4536000</f>
        <v>4536000</v>
      </c>
      <c r="J213" s="288">
        <v>0</v>
      </c>
      <c r="K213" s="288">
        <v>0</v>
      </c>
      <c r="L213" s="288">
        <v>5894459</v>
      </c>
    </row>
    <row r="214" spans="1:12" s="147" customFormat="1" ht="18" customHeight="1">
      <c r="A214" s="243"/>
      <c r="B214" s="201" t="s">
        <v>358</v>
      </c>
      <c r="C214" s="293"/>
      <c r="D214" s="287"/>
      <c r="E214" s="287"/>
      <c r="F214" s="289"/>
      <c r="G214" s="287"/>
      <c r="H214" s="289"/>
      <c r="I214" s="289"/>
      <c r="J214" s="289"/>
      <c r="K214" s="289"/>
      <c r="L214" s="289"/>
    </row>
    <row r="215" spans="1:12" s="147" customFormat="1" ht="25.5" customHeight="1">
      <c r="A215" s="243" t="s">
        <v>406</v>
      </c>
      <c r="B215" s="202" t="s">
        <v>365</v>
      </c>
      <c r="C215" s="292" t="s">
        <v>292</v>
      </c>
      <c r="D215" s="266">
        <v>2015</v>
      </c>
      <c r="E215" s="266">
        <v>2018</v>
      </c>
      <c r="F215" s="288">
        <f t="shared" ref="F215" si="56">G215+H215+I215+J215</f>
        <v>528585</v>
      </c>
      <c r="G215" s="304">
        <f>0+48585+0</f>
        <v>48585</v>
      </c>
      <c r="H215" s="294">
        <f>0+480000</f>
        <v>480000</v>
      </c>
      <c r="I215" s="294">
        <v>0</v>
      </c>
      <c r="J215" s="294">
        <v>0</v>
      </c>
      <c r="K215" s="294">
        <v>0</v>
      </c>
      <c r="L215" s="294">
        <v>480000</v>
      </c>
    </row>
    <row r="216" spans="1:12" s="147" customFormat="1" ht="15.75" customHeight="1">
      <c r="A216" s="243"/>
      <c r="B216" s="201" t="s">
        <v>358</v>
      </c>
      <c r="C216" s="293"/>
      <c r="D216" s="287"/>
      <c r="E216" s="287"/>
      <c r="F216" s="289"/>
      <c r="G216" s="287"/>
      <c r="H216" s="295"/>
      <c r="I216" s="295"/>
      <c r="J216" s="295"/>
      <c r="K216" s="295"/>
      <c r="L216" s="295"/>
    </row>
    <row r="217" spans="1:12" s="147" customFormat="1" ht="12.75" customHeight="1">
      <c r="A217" s="243" t="s">
        <v>409</v>
      </c>
      <c r="B217" s="202" t="s">
        <v>456</v>
      </c>
      <c r="C217" s="285" t="s">
        <v>238</v>
      </c>
      <c r="D217" s="266">
        <v>2018</v>
      </c>
      <c r="E217" s="266">
        <v>2019</v>
      </c>
      <c r="F217" s="288">
        <f t="shared" si="49"/>
        <v>1200000</v>
      </c>
      <c r="G217" s="304">
        <v>0</v>
      </c>
      <c r="H217" s="288">
        <v>600000</v>
      </c>
      <c r="I217" s="288">
        <v>600000</v>
      </c>
      <c r="J217" s="288">
        <v>0</v>
      </c>
      <c r="K217" s="288">
        <v>0</v>
      </c>
      <c r="L217" s="294">
        <v>1200000</v>
      </c>
    </row>
    <row r="218" spans="1:12" s="147" customFormat="1" ht="12.75" customHeight="1">
      <c r="A218" s="243"/>
      <c r="B218" s="201" t="s">
        <v>306</v>
      </c>
      <c r="C218" s="286"/>
      <c r="D218" s="287"/>
      <c r="E218" s="287"/>
      <c r="F218" s="289"/>
      <c r="G218" s="287"/>
      <c r="H218" s="289"/>
      <c r="I218" s="289"/>
      <c r="J218" s="289"/>
      <c r="K218" s="289"/>
      <c r="L218" s="295"/>
    </row>
    <row r="219" spans="1:12" s="147" customFormat="1" ht="12.75" customHeight="1">
      <c r="A219" s="243" t="s">
        <v>412</v>
      </c>
      <c r="B219" s="202" t="s">
        <v>463</v>
      </c>
      <c r="C219" s="285" t="s">
        <v>238</v>
      </c>
      <c r="D219" s="266">
        <v>2017</v>
      </c>
      <c r="E219" s="266">
        <v>2019</v>
      </c>
      <c r="F219" s="288">
        <f t="shared" ref="F219:F259" si="57">G219+H219+I219+J219</f>
        <v>1210000</v>
      </c>
      <c r="G219" s="304">
        <f>0+10000</f>
        <v>10000</v>
      </c>
      <c r="H219" s="288">
        <v>700000</v>
      </c>
      <c r="I219" s="288">
        <v>500000</v>
      </c>
      <c r="J219" s="288">
        <v>0</v>
      </c>
      <c r="K219" s="288">
        <v>0</v>
      </c>
      <c r="L219" s="294">
        <v>1178658</v>
      </c>
    </row>
    <row r="220" spans="1:12" s="147" customFormat="1" ht="12.75" customHeight="1">
      <c r="A220" s="243"/>
      <c r="B220" s="201" t="s">
        <v>306</v>
      </c>
      <c r="C220" s="286"/>
      <c r="D220" s="287"/>
      <c r="E220" s="287"/>
      <c r="F220" s="289"/>
      <c r="G220" s="287"/>
      <c r="H220" s="289"/>
      <c r="I220" s="289"/>
      <c r="J220" s="289"/>
      <c r="K220" s="289"/>
      <c r="L220" s="295"/>
    </row>
    <row r="221" spans="1:12" s="147" customFormat="1" ht="12.75" customHeight="1">
      <c r="A221" s="243" t="s">
        <v>415</v>
      </c>
      <c r="B221" s="202" t="s">
        <v>465</v>
      </c>
      <c r="C221" s="285" t="s">
        <v>238</v>
      </c>
      <c r="D221" s="266">
        <v>2017</v>
      </c>
      <c r="E221" s="266">
        <v>2018</v>
      </c>
      <c r="F221" s="288">
        <f t="shared" si="57"/>
        <v>110000</v>
      </c>
      <c r="G221" s="304">
        <f>0+10000</f>
        <v>10000</v>
      </c>
      <c r="H221" s="288">
        <v>100000</v>
      </c>
      <c r="I221" s="288">
        <v>0</v>
      </c>
      <c r="J221" s="288">
        <v>0</v>
      </c>
      <c r="K221" s="288">
        <v>0</v>
      </c>
      <c r="L221" s="294">
        <v>100000</v>
      </c>
    </row>
    <row r="222" spans="1:12" s="147" customFormat="1" ht="12.75" customHeight="1">
      <c r="A222" s="243"/>
      <c r="B222" s="201" t="s">
        <v>353</v>
      </c>
      <c r="C222" s="286"/>
      <c r="D222" s="287"/>
      <c r="E222" s="287"/>
      <c r="F222" s="289"/>
      <c r="G222" s="287"/>
      <c r="H222" s="289"/>
      <c r="I222" s="289"/>
      <c r="J222" s="289"/>
      <c r="K222" s="289"/>
      <c r="L222" s="295"/>
    </row>
    <row r="223" spans="1:12" s="147" customFormat="1" ht="16.5" customHeight="1">
      <c r="A223" s="243" t="s">
        <v>531</v>
      </c>
      <c r="B223" s="202" t="s">
        <v>399</v>
      </c>
      <c r="C223" s="292" t="s">
        <v>238</v>
      </c>
      <c r="D223" s="266">
        <v>2016</v>
      </c>
      <c r="E223" s="266">
        <v>2019</v>
      </c>
      <c r="F223" s="288">
        <f t="shared" ref="F223" si="58">G223+H223+I223+J223</f>
        <v>255000</v>
      </c>
      <c r="G223" s="304">
        <f>0+23000</f>
        <v>23000</v>
      </c>
      <c r="H223" s="288">
        <v>172000</v>
      </c>
      <c r="I223" s="288">
        <v>60000</v>
      </c>
      <c r="J223" s="288">
        <v>0</v>
      </c>
      <c r="K223" s="288">
        <v>0</v>
      </c>
      <c r="L223" s="288">
        <v>207030</v>
      </c>
    </row>
    <row r="224" spans="1:12" s="147" customFormat="1" ht="12.75" customHeight="1">
      <c r="A224" s="243"/>
      <c r="B224" s="201" t="s">
        <v>400</v>
      </c>
      <c r="C224" s="293"/>
      <c r="D224" s="287"/>
      <c r="E224" s="287"/>
      <c r="F224" s="289"/>
      <c r="G224" s="287"/>
      <c r="H224" s="289"/>
      <c r="I224" s="289"/>
      <c r="J224" s="289"/>
      <c r="K224" s="289"/>
      <c r="L224" s="289"/>
    </row>
    <row r="225" spans="1:12" s="147" customFormat="1" ht="14.25" customHeight="1">
      <c r="A225" s="243" t="s">
        <v>419</v>
      </c>
      <c r="B225" s="202" t="s">
        <v>467</v>
      </c>
      <c r="C225" s="285" t="s">
        <v>238</v>
      </c>
      <c r="D225" s="266">
        <v>2017</v>
      </c>
      <c r="E225" s="266">
        <v>2019</v>
      </c>
      <c r="F225" s="288">
        <f t="shared" ref="F225" si="59">G225+H225+I225+J225</f>
        <v>130000</v>
      </c>
      <c r="G225" s="304">
        <f>0+30000</f>
        <v>30000</v>
      </c>
      <c r="H225" s="288">
        <v>70000</v>
      </c>
      <c r="I225" s="288">
        <v>30000</v>
      </c>
      <c r="J225" s="288">
        <v>0</v>
      </c>
      <c r="K225" s="288">
        <v>0</v>
      </c>
      <c r="L225" s="294">
        <v>100000</v>
      </c>
    </row>
    <row r="226" spans="1:12" s="147" customFormat="1" ht="12.75" customHeight="1">
      <c r="A226" s="243"/>
      <c r="B226" s="201" t="s">
        <v>468</v>
      </c>
      <c r="C226" s="286"/>
      <c r="D226" s="287"/>
      <c r="E226" s="287"/>
      <c r="F226" s="289"/>
      <c r="G226" s="287"/>
      <c r="H226" s="289"/>
      <c r="I226" s="289"/>
      <c r="J226" s="289"/>
      <c r="K226" s="289"/>
      <c r="L226" s="295"/>
    </row>
    <row r="227" spans="1:12" s="147" customFormat="1" ht="13.5" customHeight="1">
      <c r="A227" s="243" t="s">
        <v>422</v>
      </c>
      <c r="B227" s="202" t="s">
        <v>505</v>
      </c>
      <c r="C227" s="285" t="s">
        <v>238</v>
      </c>
      <c r="D227" s="266">
        <v>2011</v>
      </c>
      <c r="E227" s="266">
        <v>2018</v>
      </c>
      <c r="F227" s="288">
        <f t="shared" ref="F227" si="60">G227+H227+I227+J227</f>
        <v>515233</v>
      </c>
      <c r="G227" s="304">
        <v>455233</v>
      </c>
      <c r="H227" s="288">
        <v>60000</v>
      </c>
      <c r="I227" s="288">
        <v>0</v>
      </c>
      <c r="J227" s="288">
        <v>0</v>
      </c>
      <c r="K227" s="288">
        <v>0</v>
      </c>
      <c r="L227" s="294">
        <v>60000</v>
      </c>
    </row>
    <row r="228" spans="1:12" s="147" customFormat="1" ht="18" customHeight="1">
      <c r="A228" s="243"/>
      <c r="B228" s="201" t="s">
        <v>306</v>
      </c>
      <c r="C228" s="286"/>
      <c r="D228" s="287"/>
      <c r="E228" s="287"/>
      <c r="F228" s="289"/>
      <c r="G228" s="287"/>
      <c r="H228" s="289"/>
      <c r="I228" s="289"/>
      <c r="J228" s="289"/>
      <c r="K228" s="289"/>
      <c r="L228" s="295"/>
    </row>
    <row r="229" spans="1:12" s="147" customFormat="1" ht="25.5" customHeight="1">
      <c r="A229" s="243" t="s">
        <v>423</v>
      </c>
      <c r="B229" s="202" t="s">
        <v>466</v>
      </c>
      <c r="C229" s="285" t="s">
        <v>238</v>
      </c>
      <c r="D229" s="266">
        <v>2017</v>
      </c>
      <c r="E229" s="266">
        <v>2019</v>
      </c>
      <c r="F229" s="288">
        <f t="shared" si="57"/>
        <v>140000</v>
      </c>
      <c r="G229" s="304">
        <v>0</v>
      </c>
      <c r="H229" s="288">
        <f>30000+10000</f>
        <v>40000</v>
      </c>
      <c r="I229" s="288">
        <v>100000</v>
      </c>
      <c r="J229" s="288">
        <v>0</v>
      </c>
      <c r="K229" s="288">
        <v>0</v>
      </c>
      <c r="L229" s="294">
        <v>140000</v>
      </c>
    </row>
    <row r="230" spans="1:12" s="147" customFormat="1" ht="12.75" customHeight="1">
      <c r="A230" s="243"/>
      <c r="B230" s="201" t="s">
        <v>306</v>
      </c>
      <c r="C230" s="286"/>
      <c r="D230" s="287"/>
      <c r="E230" s="287"/>
      <c r="F230" s="289"/>
      <c r="G230" s="287"/>
      <c r="H230" s="289"/>
      <c r="I230" s="289"/>
      <c r="J230" s="289"/>
      <c r="K230" s="289"/>
      <c r="L230" s="295"/>
    </row>
    <row r="231" spans="1:12" s="147" customFormat="1" ht="14.25" customHeight="1">
      <c r="A231" s="243" t="s">
        <v>425</v>
      </c>
      <c r="B231" s="202" t="s">
        <v>472</v>
      </c>
      <c r="C231" s="285" t="s">
        <v>238</v>
      </c>
      <c r="D231" s="266">
        <v>2017</v>
      </c>
      <c r="E231" s="266">
        <v>2018</v>
      </c>
      <c r="F231" s="288">
        <f t="shared" si="57"/>
        <v>185000</v>
      </c>
      <c r="G231" s="304">
        <f>0+5000</f>
        <v>5000</v>
      </c>
      <c r="H231" s="288">
        <v>180000</v>
      </c>
      <c r="I231" s="288">
        <v>0</v>
      </c>
      <c r="J231" s="288">
        <v>0</v>
      </c>
      <c r="K231" s="288">
        <v>0</v>
      </c>
      <c r="L231" s="294">
        <v>180000</v>
      </c>
    </row>
    <row r="232" spans="1:12" s="147" customFormat="1" ht="15.75" customHeight="1">
      <c r="A232" s="243"/>
      <c r="B232" s="201" t="s">
        <v>473</v>
      </c>
      <c r="C232" s="286"/>
      <c r="D232" s="287"/>
      <c r="E232" s="287"/>
      <c r="F232" s="289"/>
      <c r="G232" s="287"/>
      <c r="H232" s="289"/>
      <c r="I232" s="289"/>
      <c r="J232" s="289"/>
      <c r="K232" s="289"/>
      <c r="L232" s="295"/>
    </row>
    <row r="233" spans="1:12" s="147" customFormat="1" ht="26.25" customHeight="1">
      <c r="A233" s="243" t="s">
        <v>427</v>
      </c>
      <c r="B233" s="202" t="s">
        <v>552</v>
      </c>
      <c r="C233" s="285" t="s">
        <v>238</v>
      </c>
      <c r="D233" s="266">
        <v>2006</v>
      </c>
      <c r="E233" s="266">
        <v>2018</v>
      </c>
      <c r="F233" s="288">
        <f t="shared" si="57"/>
        <v>38698062</v>
      </c>
      <c r="G233" s="304">
        <f>38580262+17800</f>
        <v>38598062</v>
      </c>
      <c r="H233" s="288">
        <v>100000</v>
      </c>
      <c r="I233" s="288">
        <v>0</v>
      </c>
      <c r="J233" s="288">
        <v>0</v>
      </c>
      <c r="K233" s="288">
        <v>0</v>
      </c>
      <c r="L233" s="294">
        <v>100000</v>
      </c>
    </row>
    <row r="234" spans="1:12" s="147" customFormat="1" ht="11.25" customHeight="1">
      <c r="A234" s="243"/>
      <c r="B234" s="201" t="s">
        <v>376</v>
      </c>
      <c r="C234" s="286"/>
      <c r="D234" s="287"/>
      <c r="E234" s="287"/>
      <c r="F234" s="289"/>
      <c r="G234" s="287"/>
      <c r="H234" s="289"/>
      <c r="I234" s="289"/>
      <c r="J234" s="289"/>
      <c r="K234" s="289"/>
      <c r="L234" s="295"/>
    </row>
    <row r="235" spans="1:12" s="147" customFormat="1" ht="29.25" customHeight="1">
      <c r="A235" s="243" t="s">
        <v>429</v>
      </c>
      <c r="B235" s="202" t="s">
        <v>483</v>
      </c>
      <c r="C235" s="285" t="s">
        <v>238</v>
      </c>
      <c r="D235" s="266">
        <v>2018</v>
      </c>
      <c r="E235" s="266">
        <v>2019</v>
      </c>
      <c r="F235" s="288">
        <f t="shared" si="57"/>
        <v>500000</v>
      </c>
      <c r="G235" s="304">
        <v>0</v>
      </c>
      <c r="H235" s="288">
        <f>150000-150000</f>
        <v>0</v>
      </c>
      <c r="I235" s="288">
        <f>600000-100000</f>
        <v>500000</v>
      </c>
      <c r="J235" s="288">
        <v>0</v>
      </c>
      <c r="K235" s="288">
        <v>0</v>
      </c>
      <c r="L235" s="294">
        <f>750000-250000</f>
        <v>500000</v>
      </c>
    </row>
    <row r="236" spans="1:12" s="147" customFormat="1" ht="11.25" customHeight="1">
      <c r="A236" s="243"/>
      <c r="B236" s="201" t="s">
        <v>481</v>
      </c>
      <c r="C236" s="286"/>
      <c r="D236" s="287"/>
      <c r="E236" s="287"/>
      <c r="F236" s="289"/>
      <c r="G236" s="287"/>
      <c r="H236" s="289"/>
      <c r="I236" s="289"/>
      <c r="J236" s="289"/>
      <c r="K236" s="289"/>
      <c r="L236" s="295"/>
    </row>
    <row r="237" spans="1:12" s="147" customFormat="1" ht="13.5" customHeight="1">
      <c r="A237" s="243" t="s">
        <v>532</v>
      </c>
      <c r="B237" s="202" t="s">
        <v>482</v>
      </c>
      <c r="C237" s="285" t="s">
        <v>238</v>
      </c>
      <c r="D237" s="266">
        <v>2017</v>
      </c>
      <c r="E237" s="266">
        <v>2018</v>
      </c>
      <c r="F237" s="288">
        <f t="shared" si="57"/>
        <v>152054</v>
      </c>
      <c r="G237" s="304">
        <f>0+12054</f>
        <v>12054</v>
      </c>
      <c r="H237" s="288">
        <v>140000</v>
      </c>
      <c r="I237" s="288">
        <v>0</v>
      </c>
      <c r="J237" s="288">
        <v>0</v>
      </c>
      <c r="K237" s="288">
        <v>0</v>
      </c>
      <c r="L237" s="294">
        <v>140000</v>
      </c>
    </row>
    <row r="238" spans="1:12" s="147" customFormat="1" ht="11.25" customHeight="1">
      <c r="A238" s="243"/>
      <c r="B238" s="201" t="s">
        <v>468</v>
      </c>
      <c r="C238" s="286"/>
      <c r="D238" s="287"/>
      <c r="E238" s="287"/>
      <c r="F238" s="289"/>
      <c r="G238" s="287"/>
      <c r="H238" s="289"/>
      <c r="I238" s="289"/>
      <c r="J238" s="289"/>
      <c r="K238" s="289"/>
      <c r="L238" s="295"/>
    </row>
    <row r="239" spans="1:12" s="147" customFormat="1" ht="13.5" customHeight="1">
      <c r="A239" s="243" t="s">
        <v>432</v>
      </c>
      <c r="B239" s="202" t="s">
        <v>487</v>
      </c>
      <c r="C239" s="285" t="s">
        <v>238</v>
      </c>
      <c r="D239" s="266">
        <v>2017</v>
      </c>
      <c r="E239" s="266">
        <v>2018</v>
      </c>
      <c r="F239" s="288">
        <f t="shared" si="57"/>
        <v>300000</v>
      </c>
      <c r="G239" s="304">
        <v>0</v>
      </c>
      <c r="H239" s="288">
        <v>300000</v>
      </c>
      <c r="I239" s="288">
        <v>0</v>
      </c>
      <c r="J239" s="288">
        <v>0</v>
      </c>
      <c r="K239" s="288">
        <v>0</v>
      </c>
      <c r="L239" s="294">
        <v>300000</v>
      </c>
    </row>
    <row r="240" spans="1:12" s="147" customFormat="1" ht="11.25" customHeight="1">
      <c r="A240" s="243"/>
      <c r="B240" s="201" t="s">
        <v>489</v>
      </c>
      <c r="C240" s="286"/>
      <c r="D240" s="287"/>
      <c r="E240" s="287"/>
      <c r="F240" s="289"/>
      <c r="G240" s="287"/>
      <c r="H240" s="289"/>
      <c r="I240" s="289"/>
      <c r="J240" s="289"/>
      <c r="K240" s="289"/>
      <c r="L240" s="295"/>
    </row>
    <row r="241" spans="1:12" s="147" customFormat="1" ht="13.5" customHeight="1">
      <c r="A241" s="243" t="s">
        <v>435</v>
      </c>
      <c r="B241" s="202" t="s">
        <v>497</v>
      </c>
      <c r="C241" s="285" t="s">
        <v>238</v>
      </c>
      <c r="D241" s="266">
        <v>2017</v>
      </c>
      <c r="E241" s="266">
        <v>2018</v>
      </c>
      <c r="F241" s="288">
        <f t="shared" si="57"/>
        <v>350000</v>
      </c>
      <c r="G241" s="304">
        <f>0+5000</f>
        <v>5000</v>
      </c>
      <c r="H241" s="288">
        <v>345000</v>
      </c>
      <c r="I241" s="288">
        <v>0</v>
      </c>
      <c r="J241" s="288">
        <v>0</v>
      </c>
      <c r="K241" s="288">
        <v>0</v>
      </c>
      <c r="L241" s="294">
        <v>345000</v>
      </c>
    </row>
    <row r="242" spans="1:12" s="147" customFormat="1" ht="11.25" customHeight="1">
      <c r="A242" s="243"/>
      <c r="B242" s="201" t="s">
        <v>333</v>
      </c>
      <c r="C242" s="286"/>
      <c r="D242" s="287"/>
      <c r="E242" s="287"/>
      <c r="F242" s="289"/>
      <c r="G242" s="287"/>
      <c r="H242" s="289"/>
      <c r="I242" s="289"/>
      <c r="J242" s="289"/>
      <c r="K242" s="289"/>
      <c r="L242" s="295"/>
    </row>
    <row r="243" spans="1:12" s="147" customFormat="1" ht="15.75" customHeight="1">
      <c r="A243" s="243" t="s">
        <v>436</v>
      </c>
      <c r="B243" s="202" t="s">
        <v>332</v>
      </c>
      <c r="C243" s="292" t="s">
        <v>238</v>
      </c>
      <c r="D243" s="266">
        <v>2012</v>
      </c>
      <c r="E243" s="266">
        <v>2018</v>
      </c>
      <c r="F243" s="288">
        <f t="shared" ref="F243" si="61">G243+H243+I243+J243</f>
        <v>441025</v>
      </c>
      <c r="G243" s="304">
        <f>141025+0</f>
        <v>141025</v>
      </c>
      <c r="H243" s="288">
        <v>300000</v>
      </c>
      <c r="I243" s="288">
        <v>0</v>
      </c>
      <c r="J243" s="288">
        <v>0</v>
      </c>
      <c r="K243" s="288">
        <v>0</v>
      </c>
      <c r="L243" s="294">
        <v>300000</v>
      </c>
    </row>
    <row r="244" spans="1:12" s="147" customFormat="1" ht="15" customHeight="1">
      <c r="A244" s="243"/>
      <c r="B244" s="201" t="s">
        <v>333</v>
      </c>
      <c r="C244" s="293"/>
      <c r="D244" s="287"/>
      <c r="E244" s="287"/>
      <c r="F244" s="289"/>
      <c r="G244" s="287"/>
      <c r="H244" s="289"/>
      <c r="I244" s="289"/>
      <c r="J244" s="289"/>
      <c r="K244" s="289"/>
      <c r="L244" s="295"/>
    </row>
    <row r="245" spans="1:12" s="147" customFormat="1" ht="15.75" customHeight="1">
      <c r="A245" s="243" t="s">
        <v>439</v>
      </c>
      <c r="B245" s="202" t="s">
        <v>373</v>
      </c>
      <c r="C245" s="292" t="s">
        <v>238</v>
      </c>
      <c r="D245" s="266">
        <v>2011</v>
      </c>
      <c r="E245" s="266">
        <v>2018</v>
      </c>
      <c r="F245" s="288">
        <f t="shared" ref="F245" si="62">G245+H245+I245+J245</f>
        <v>828094</v>
      </c>
      <c r="G245" s="304">
        <f>53617+0+24477+20000</f>
        <v>98094</v>
      </c>
      <c r="H245" s="288">
        <v>730000</v>
      </c>
      <c r="I245" s="288">
        <v>0</v>
      </c>
      <c r="J245" s="288">
        <v>0</v>
      </c>
      <c r="K245" s="288">
        <v>0</v>
      </c>
      <c r="L245" s="288">
        <v>730000</v>
      </c>
    </row>
    <row r="246" spans="1:12" s="147" customFormat="1" ht="12" customHeight="1">
      <c r="A246" s="243"/>
      <c r="B246" s="201" t="s">
        <v>333</v>
      </c>
      <c r="C246" s="293"/>
      <c r="D246" s="287"/>
      <c r="E246" s="287"/>
      <c r="F246" s="289"/>
      <c r="G246" s="287"/>
      <c r="H246" s="289"/>
      <c r="I246" s="289"/>
      <c r="J246" s="289"/>
      <c r="K246" s="289"/>
      <c r="L246" s="289"/>
    </row>
    <row r="247" spans="1:12" s="147" customFormat="1" ht="12.75" customHeight="1">
      <c r="A247" s="243" t="s">
        <v>442</v>
      </c>
      <c r="B247" s="202" t="s">
        <v>461</v>
      </c>
      <c r="C247" s="285" t="s">
        <v>238</v>
      </c>
      <c r="D247" s="266">
        <v>2014</v>
      </c>
      <c r="E247" s="266">
        <v>2018</v>
      </c>
      <c r="F247" s="288">
        <f t="shared" ref="F247" si="63">G247+H247+I247+J247</f>
        <v>930997</v>
      </c>
      <c r="G247" s="304">
        <f>520997+1000</f>
        <v>521997</v>
      </c>
      <c r="H247" s="288">
        <f>0+130000+279000</f>
        <v>409000</v>
      </c>
      <c r="I247" s="288">
        <v>0</v>
      </c>
      <c r="J247" s="288">
        <v>0</v>
      </c>
      <c r="K247" s="288">
        <v>0</v>
      </c>
      <c r="L247" s="294">
        <v>0</v>
      </c>
    </row>
    <row r="248" spans="1:12" s="147" customFormat="1" ht="12.75" customHeight="1">
      <c r="A248" s="243"/>
      <c r="B248" s="201" t="s">
        <v>333</v>
      </c>
      <c r="C248" s="286"/>
      <c r="D248" s="287"/>
      <c r="E248" s="287"/>
      <c r="F248" s="289"/>
      <c r="G248" s="287"/>
      <c r="H248" s="289"/>
      <c r="I248" s="289"/>
      <c r="J248" s="289"/>
      <c r="K248" s="289"/>
      <c r="L248" s="295"/>
    </row>
    <row r="249" spans="1:12" s="147" customFormat="1" ht="13.5" customHeight="1">
      <c r="A249" s="243" t="s">
        <v>444</v>
      </c>
      <c r="B249" s="202" t="s">
        <v>507</v>
      </c>
      <c r="C249" s="285" t="s">
        <v>238</v>
      </c>
      <c r="D249" s="266">
        <v>2017</v>
      </c>
      <c r="E249" s="266">
        <v>2018</v>
      </c>
      <c r="F249" s="288">
        <f t="shared" ref="F249" si="64">G249+H249+I249+J249</f>
        <v>608905</v>
      </c>
      <c r="G249" s="304">
        <v>28905</v>
      </c>
      <c r="H249" s="288">
        <v>580000</v>
      </c>
      <c r="I249" s="288">
        <v>0</v>
      </c>
      <c r="J249" s="288">
        <v>0</v>
      </c>
      <c r="K249" s="288">
        <v>0</v>
      </c>
      <c r="L249" s="294">
        <v>580000</v>
      </c>
    </row>
    <row r="250" spans="1:12" s="147" customFormat="1" ht="16.5" customHeight="1">
      <c r="A250" s="243"/>
      <c r="B250" s="201" t="s">
        <v>508</v>
      </c>
      <c r="C250" s="286"/>
      <c r="D250" s="287"/>
      <c r="E250" s="287"/>
      <c r="F250" s="289"/>
      <c r="G250" s="287"/>
      <c r="H250" s="289"/>
      <c r="I250" s="289"/>
      <c r="J250" s="289"/>
      <c r="K250" s="289"/>
      <c r="L250" s="295"/>
    </row>
    <row r="251" spans="1:12" s="147" customFormat="1" ht="15.75" customHeight="1">
      <c r="A251" s="243" t="s">
        <v>446</v>
      </c>
      <c r="B251" s="202" t="s">
        <v>498</v>
      </c>
      <c r="C251" s="285" t="s">
        <v>309</v>
      </c>
      <c r="D251" s="266">
        <v>2017</v>
      </c>
      <c r="E251" s="266">
        <v>2018</v>
      </c>
      <c r="F251" s="288">
        <f t="shared" si="57"/>
        <v>280000</v>
      </c>
      <c r="G251" s="304">
        <f>0+5000</f>
        <v>5000</v>
      </c>
      <c r="H251" s="288">
        <v>275000</v>
      </c>
      <c r="I251" s="288">
        <v>0</v>
      </c>
      <c r="J251" s="288">
        <v>0</v>
      </c>
      <c r="K251" s="288">
        <v>0</v>
      </c>
      <c r="L251" s="294">
        <v>275000</v>
      </c>
    </row>
    <row r="252" spans="1:12" s="147" customFormat="1" ht="16.5" customHeight="1">
      <c r="A252" s="243"/>
      <c r="B252" s="201" t="s">
        <v>499</v>
      </c>
      <c r="C252" s="286"/>
      <c r="D252" s="287"/>
      <c r="E252" s="287"/>
      <c r="F252" s="289"/>
      <c r="G252" s="287"/>
      <c r="H252" s="289"/>
      <c r="I252" s="289"/>
      <c r="J252" s="289"/>
      <c r="K252" s="289"/>
      <c r="L252" s="295"/>
    </row>
    <row r="253" spans="1:12" s="147" customFormat="1" ht="13.5" customHeight="1">
      <c r="A253" s="243" t="s">
        <v>448</v>
      </c>
      <c r="B253" s="202" t="s">
        <v>566</v>
      </c>
      <c r="C253" s="285" t="s">
        <v>238</v>
      </c>
      <c r="D253" s="266">
        <v>2018</v>
      </c>
      <c r="E253" s="266">
        <v>2019</v>
      </c>
      <c r="F253" s="288">
        <f t="shared" si="57"/>
        <v>200000</v>
      </c>
      <c r="G253" s="304">
        <v>0</v>
      </c>
      <c r="H253" s="288">
        <f>50000+50000</f>
        <v>100000</v>
      </c>
      <c r="I253" s="288">
        <v>100000</v>
      </c>
      <c r="J253" s="288">
        <v>0</v>
      </c>
      <c r="K253" s="288">
        <v>0</v>
      </c>
      <c r="L253" s="294">
        <f>150000+50000</f>
        <v>200000</v>
      </c>
    </row>
    <row r="254" spans="1:12" s="147" customFormat="1" ht="18" customHeight="1">
      <c r="A254" s="243"/>
      <c r="B254" s="201" t="s">
        <v>306</v>
      </c>
      <c r="C254" s="286"/>
      <c r="D254" s="287"/>
      <c r="E254" s="287"/>
      <c r="F254" s="289"/>
      <c r="G254" s="287"/>
      <c r="H254" s="289"/>
      <c r="I254" s="289"/>
      <c r="J254" s="289"/>
      <c r="K254" s="289"/>
      <c r="L254" s="295"/>
    </row>
    <row r="255" spans="1:12" s="147" customFormat="1" ht="13.5" customHeight="1">
      <c r="A255" s="243" t="s">
        <v>450</v>
      </c>
      <c r="B255" s="202" t="s">
        <v>509</v>
      </c>
      <c r="C255" s="285" t="s">
        <v>238</v>
      </c>
      <c r="D255" s="266">
        <v>2018</v>
      </c>
      <c r="E255" s="266">
        <v>2019</v>
      </c>
      <c r="F255" s="288">
        <f t="shared" si="57"/>
        <v>875000</v>
      </c>
      <c r="G255" s="304">
        <v>0</v>
      </c>
      <c r="H255" s="288">
        <v>300000</v>
      </c>
      <c r="I255" s="288">
        <v>575000</v>
      </c>
      <c r="J255" s="288">
        <v>0</v>
      </c>
      <c r="K255" s="288">
        <v>0</v>
      </c>
      <c r="L255" s="294">
        <v>875000</v>
      </c>
    </row>
    <row r="256" spans="1:12" s="147" customFormat="1" ht="18" customHeight="1">
      <c r="A256" s="243"/>
      <c r="B256" s="201" t="s">
        <v>518</v>
      </c>
      <c r="C256" s="286"/>
      <c r="D256" s="287"/>
      <c r="E256" s="287"/>
      <c r="F256" s="289"/>
      <c r="G256" s="287"/>
      <c r="H256" s="289"/>
      <c r="I256" s="289"/>
      <c r="J256" s="289"/>
      <c r="K256" s="289"/>
      <c r="L256" s="295"/>
    </row>
    <row r="257" spans="1:12" s="147" customFormat="1" ht="13.5" customHeight="1">
      <c r="A257" s="243" t="s">
        <v>452</v>
      </c>
      <c r="B257" s="202" t="s">
        <v>510</v>
      </c>
      <c r="C257" s="285" t="s">
        <v>238</v>
      </c>
      <c r="D257" s="266">
        <v>2018</v>
      </c>
      <c r="E257" s="266">
        <v>2019</v>
      </c>
      <c r="F257" s="288">
        <f t="shared" si="57"/>
        <v>100000</v>
      </c>
      <c r="G257" s="304">
        <v>0</v>
      </c>
      <c r="H257" s="288">
        <v>30000</v>
      </c>
      <c r="I257" s="288">
        <v>70000</v>
      </c>
      <c r="J257" s="288">
        <v>0</v>
      </c>
      <c r="K257" s="288">
        <v>0</v>
      </c>
      <c r="L257" s="294">
        <v>100000</v>
      </c>
    </row>
    <row r="258" spans="1:12" s="147" customFormat="1" ht="18" customHeight="1">
      <c r="A258" s="243"/>
      <c r="B258" s="201" t="s">
        <v>519</v>
      </c>
      <c r="C258" s="286"/>
      <c r="D258" s="287"/>
      <c r="E258" s="287"/>
      <c r="F258" s="289"/>
      <c r="G258" s="287"/>
      <c r="H258" s="289"/>
      <c r="I258" s="289"/>
      <c r="J258" s="289"/>
      <c r="K258" s="289"/>
      <c r="L258" s="295"/>
    </row>
    <row r="259" spans="1:12" s="147" customFormat="1" ht="13.5" customHeight="1">
      <c r="A259" s="243" t="s">
        <v>455</v>
      </c>
      <c r="B259" s="202" t="s">
        <v>515</v>
      </c>
      <c r="C259" s="285" t="s">
        <v>514</v>
      </c>
      <c r="D259" s="266">
        <v>2017</v>
      </c>
      <c r="E259" s="266">
        <v>2018</v>
      </c>
      <c r="F259" s="288">
        <f t="shared" si="57"/>
        <v>33000</v>
      </c>
      <c r="G259" s="304">
        <v>20000</v>
      </c>
      <c r="H259" s="288">
        <v>13000</v>
      </c>
      <c r="I259" s="288">
        <v>0</v>
      </c>
      <c r="J259" s="288">
        <v>0</v>
      </c>
      <c r="K259" s="288">
        <v>0</v>
      </c>
      <c r="L259" s="294">
        <v>13000</v>
      </c>
    </row>
    <row r="260" spans="1:12" s="147" customFormat="1" ht="24" customHeight="1">
      <c r="A260" s="243"/>
      <c r="B260" s="201" t="s">
        <v>516</v>
      </c>
      <c r="C260" s="286"/>
      <c r="D260" s="287"/>
      <c r="E260" s="287"/>
      <c r="F260" s="289"/>
      <c r="G260" s="287"/>
      <c r="H260" s="289"/>
      <c r="I260" s="289"/>
      <c r="J260" s="289"/>
      <c r="K260" s="289"/>
      <c r="L260" s="295"/>
    </row>
    <row r="261" spans="1:12" s="147" customFormat="1" ht="13.5" customHeight="1">
      <c r="A261" s="243" t="s">
        <v>457</v>
      </c>
      <c r="B261" s="202" t="s">
        <v>554</v>
      </c>
      <c r="C261" s="285" t="s">
        <v>238</v>
      </c>
      <c r="D261" s="266">
        <v>2015</v>
      </c>
      <c r="E261" s="266">
        <v>2018</v>
      </c>
      <c r="F261" s="288">
        <f t="shared" ref="F261" si="65">G261+H261+I261+J261</f>
        <v>485825</v>
      </c>
      <c r="G261" s="290">
        <f>0+20000+13825+(452000-138631)</f>
        <v>347194</v>
      </c>
      <c r="H261" s="288">
        <f>138631</f>
        <v>138631</v>
      </c>
      <c r="I261" s="288">
        <v>0</v>
      </c>
      <c r="J261" s="288">
        <v>0</v>
      </c>
      <c r="K261" s="288">
        <v>0</v>
      </c>
      <c r="L261" s="294">
        <v>0</v>
      </c>
    </row>
    <row r="262" spans="1:12" s="147" customFormat="1" ht="18" customHeight="1">
      <c r="A262" s="243"/>
      <c r="B262" s="201" t="s">
        <v>555</v>
      </c>
      <c r="C262" s="286"/>
      <c r="D262" s="287"/>
      <c r="E262" s="287"/>
      <c r="F262" s="289"/>
      <c r="G262" s="291"/>
      <c r="H262" s="289"/>
      <c r="I262" s="289"/>
      <c r="J262" s="289"/>
      <c r="K262" s="289"/>
      <c r="L262" s="295"/>
    </row>
    <row r="263" spans="1:12" s="147" customFormat="1" ht="13.5" customHeight="1">
      <c r="A263" s="243" t="s">
        <v>460</v>
      </c>
      <c r="B263" s="202" t="s">
        <v>556</v>
      </c>
      <c r="C263" s="285" t="s">
        <v>238</v>
      </c>
      <c r="D263" s="266">
        <v>2016</v>
      </c>
      <c r="E263" s="266">
        <v>2018</v>
      </c>
      <c r="F263" s="288">
        <f t="shared" ref="F263" si="66">G263+H263+I263+J263</f>
        <v>106950</v>
      </c>
      <c r="G263" s="290">
        <f>106950-80565</f>
        <v>26385</v>
      </c>
      <c r="H263" s="288">
        <f>80565</f>
        <v>80565</v>
      </c>
      <c r="I263" s="288">
        <v>0</v>
      </c>
      <c r="J263" s="288">
        <v>0</v>
      </c>
      <c r="K263" s="288">
        <v>0</v>
      </c>
      <c r="L263" s="294">
        <v>0</v>
      </c>
    </row>
    <row r="264" spans="1:12" s="147" customFormat="1" ht="12" customHeight="1">
      <c r="A264" s="243"/>
      <c r="B264" s="201" t="s">
        <v>306</v>
      </c>
      <c r="C264" s="286"/>
      <c r="D264" s="287"/>
      <c r="E264" s="287"/>
      <c r="F264" s="289"/>
      <c r="G264" s="291"/>
      <c r="H264" s="289"/>
      <c r="I264" s="289"/>
      <c r="J264" s="289"/>
      <c r="K264" s="289"/>
      <c r="L264" s="295"/>
    </row>
    <row r="265" spans="1:12" s="147" customFormat="1" ht="13.5" customHeight="1">
      <c r="A265" s="243" t="s">
        <v>462</v>
      </c>
      <c r="B265" s="202" t="s">
        <v>560</v>
      </c>
      <c r="C265" s="285" t="s">
        <v>238</v>
      </c>
      <c r="D265" s="266">
        <v>2016</v>
      </c>
      <c r="E265" s="266">
        <v>2018</v>
      </c>
      <c r="F265" s="288">
        <f t="shared" ref="F265" si="67">G265+H265+I265+J265</f>
        <v>342414</v>
      </c>
      <c r="G265" s="290">
        <v>5800</v>
      </c>
      <c r="H265" s="288">
        <v>336614</v>
      </c>
      <c r="I265" s="288">
        <v>0</v>
      </c>
      <c r="J265" s="288">
        <v>0</v>
      </c>
      <c r="K265" s="288">
        <v>0</v>
      </c>
      <c r="L265" s="294">
        <v>336614</v>
      </c>
    </row>
    <row r="266" spans="1:12" s="147" customFormat="1" ht="13.5" customHeight="1">
      <c r="A266" s="243"/>
      <c r="B266" s="201" t="s">
        <v>561</v>
      </c>
      <c r="C266" s="286"/>
      <c r="D266" s="287"/>
      <c r="E266" s="287"/>
      <c r="F266" s="289"/>
      <c r="G266" s="291"/>
      <c r="H266" s="289"/>
      <c r="I266" s="289"/>
      <c r="J266" s="289"/>
      <c r="K266" s="289"/>
      <c r="L266" s="295"/>
    </row>
    <row r="267" spans="1:12" s="147" customFormat="1" ht="20.25" customHeight="1">
      <c r="A267" s="243" t="s">
        <v>464</v>
      </c>
      <c r="B267" s="202" t="s">
        <v>564</v>
      </c>
      <c r="C267" s="292" t="s">
        <v>514</v>
      </c>
      <c r="D267" s="266">
        <v>2017</v>
      </c>
      <c r="E267" s="266">
        <v>2018</v>
      </c>
      <c r="F267" s="288">
        <f t="shared" ref="F267" si="68">G267+H267+I267+J267</f>
        <v>97000</v>
      </c>
      <c r="G267" s="290">
        <v>20000</v>
      </c>
      <c r="H267" s="288">
        <v>77000</v>
      </c>
      <c r="I267" s="288">
        <v>0</v>
      </c>
      <c r="J267" s="288">
        <v>0</v>
      </c>
      <c r="K267" s="288">
        <v>0</v>
      </c>
      <c r="L267" s="294">
        <v>77000</v>
      </c>
    </row>
    <row r="268" spans="1:12" s="147" customFormat="1" ht="18" customHeight="1">
      <c r="A268" s="243"/>
      <c r="B268" s="201" t="s">
        <v>565</v>
      </c>
      <c r="C268" s="293"/>
      <c r="D268" s="287"/>
      <c r="E268" s="287"/>
      <c r="F268" s="289"/>
      <c r="G268" s="291"/>
      <c r="H268" s="289"/>
      <c r="I268" s="289"/>
      <c r="J268" s="289"/>
      <c r="K268" s="289"/>
      <c r="L268" s="295"/>
    </row>
    <row r="269" spans="1:12" s="147" customFormat="1" ht="26.25" customHeight="1">
      <c r="A269" s="243" t="s">
        <v>533</v>
      </c>
      <c r="B269" s="202" t="s">
        <v>567</v>
      </c>
      <c r="C269" s="292" t="s">
        <v>238</v>
      </c>
      <c r="D269" s="266">
        <v>2018</v>
      </c>
      <c r="E269" s="266">
        <v>2019</v>
      </c>
      <c r="F269" s="288">
        <f t="shared" ref="F269" si="69">G269+H269+I269+J269</f>
        <v>250000</v>
      </c>
      <c r="G269" s="290">
        <v>0</v>
      </c>
      <c r="H269" s="288">
        <f>50000+100000</f>
        <v>150000</v>
      </c>
      <c r="I269" s="288">
        <v>100000</v>
      </c>
      <c r="J269" s="288">
        <v>0</v>
      </c>
      <c r="K269" s="288">
        <v>0</v>
      </c>
      <c r="L269" s="294">
        <f>150000+100000</f>
        <v>250000</v>
      </c>
    </row>
    <row r="270" spans="1:12" s="147" customFormat="1" ht="18" customHeight="1">
      <c r="A270" s="243"/>
      <c r="B270" s="201" t="s">
        <v>306</v>
      </c>
      <c r="C270" s="293"/>
      <c r="D270" s="287"/>
      <c r="E270" s="287"/>
      <c r="F270" s="289"/>
      <c r="G270" s="291"/>
      <c r="H270" s="289"/>
      <c r="I270" s="289"/>
      <c r="J270" s="289"/>
      <c r="K270" s="289"/>
      <c r="L270" s="295"/>
    </row>
  </sheetData>
  <mergeCells count="1388">
    <mergeCell ref="H253:H254"/>
    <mergeCell ref="A259:A260"/>
    <mergeCell ref="J44:J45"/>
    <mergeCell ref="K44:K45"/>
    <mergeCell ref="A267:A268"/>
    <mergeCell ref="C267:C268"/>
    <mergeCell ref="D267:D268"/>
    <mergeCell ref="E267:E268"/>
    <mergeCell ref="F267:F268"/>
    <mergeCell ref="G267:G268"/>
    <mergeCell ref="H267:H268"/>
    <mergeCell ref="I267:I268"/>
    <mergeCell ref="J267:J268"/>
    <mergeCell ref="K267:K268"/>
    <mergeCell ref="L267:L268"/>
    <mergeCell ref="A54:A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257:L258"/>
    <mergeCell ref="K253:K254"/>
    <mergeCell ref="L253:L254"/>
    <mergeCell ref="A253:A254"/>
    <mergeCell ref="C253:C254"/>
    <mergeCell ref="D253:D254"/>
    <mergeCell ref="E253:E254"/>
    <mergeCell ref="F253:F254"/>
    <mergeCell ref="G253:G254"/>
    <mergeCell ref="I40:I41"/>
    <mergeCell ref="G40:G41"/>
    <mergeCell ref="L44:L45"/>
    <mergeCell ref="A48:A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A50:A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C44:C45"/>
    <mergeCell ref="D44:D45"/>
    <mergeCell ref="E44:E45"/>
    <mergeCell ref="F44:F45"/>
    <mergeCell ref="G44:G45"/>
    <mergeCell ref="H44:H45"/>
    <mergeCell ref="I44:I45"/>
    <mergeCell ref="A38:A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A42:A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K40:K41"/>
    <mergeCell ref="L40:L41"/>
    <mergeCell ref="A40:A41"/>
    <mergeCell ref="C40:C41"/>
    <mergeCell ref="D40:D41"/>
    <mergeCell ref="E40:E41"/>
    <mergeCell ref="F40:F41"/>
    <mergeCell ref="H40:H41"/>
    <mergeCell ref="E30:E31"/>
    <mergeCell ref="F30:F31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H30:H31"/>
    <mergeCell ref="I30:I31"/>
    <mergeCell ref="A36:A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G30:G31"/>
    <mergeCell ref="C30:C31"/>
    <mergeCell ref="D30:D31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F28:F29"/>
    <mergeCell ref="G28:G29"/>
    <mergeCell ref="H28:H29"/>
    <mergeCell ref="I28:I29"/>
    <mergeCell ref="J28:J29"/>
    <mergeCell ref="K28:K29"/>
    <mergeCell ref="L28:L29"/>
    <mergeCell ref="C259:C260"/>
    <mergeCell ref="D259:D260"/>
    <mergeCell ref="E259:E260"/>
    <mergeCell ref="F259:F260"/>
    <mergeCell ref="G259:G260"/>
    <mergeCell ref="H259:H260"/>
    <mergeCell ref="I259:I260"/>
    <mergeCell ref="J259:J260"/>
    <mergeCell ref="K259:K260"/>
    <mergeCell ref="L259:L260"/>
    <mergeCell ref="A255:A256"/>
    <mergeCell ref="C255:C256"/>
    <mergeCell ref="D255:D256"/>
    <mergeCell ref="E255:E256"/>
    <mergeCell ref="F255:F256"/>
    <mergeCell ref="G255:G256"/>
    <mergeCell ref="H255:H256"/>
    <mergeCell ref="I255:I256"/>
    <mergeCell ref="J255:J256"/>
    <mergeCell ref="K255:K256"/>
    <mergeCell ref="L255:L256"/>
    <mergeCell ref="A257:A258"/>
    <mergeCell ref="C257:C258"/>
    <mergeCell ref="D257:D258"/>
    <mergeCell ref="E257:E258"/>
    <mergeCell ref="F257:F258"/>
    <mergeCell ref="G257:G258"/>
    <mergeCell ref="H257:H258"/>
    <mergeCell ref="I257:I258"/>
    <mergeCell ref="J257:J258"/>
    <mergeCell ref="K257:K258"/>
    <mergeCell ref="A239:A240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I253:I254"/>
    <mergeCell ref="J253:J254"/>
    <mergeCell ref="L79:L80"/>
    <mergeCell ref="H81:H82"/>
    <mergeCell ref="I81:I82"/>
    <mergeCell ref="J81:J82"/>
    <mergeCell ref="K81:K82"/>
    <mergeCell ref="H79:H80"/>
    <mergeCell ref="I79:I80"/>
    <mergeCell ref="J79:J80"/>
    <mergeCell ref="K79:K80"/>
    <mergeCell ref="K229:K230"/>
    <mergeCell ref="L229:L230"/>
    <mergeCell ref="H207:H208"/>
    <mergeCell ref="I207:I208"/>
    <mergeCell ref="J207:J208"/>
    <mergeCell ref="K207:K208"/>
    <mergeCell ref="L207:L208"/>
    <mergeCell ref="L237:L238"/>
    <mergeCell ref="H205:H206"/>
    <mergeCell ref="A237:A238"/>
    <mergeCell ref="C237:C238"/>
    <mergeCell ref="D237:D238"/>
    <mergeCell ref="E237:E238"/>
    <mergeCell ref="I237:I238"/>
    <mergeCell ref="J237:J238"/>
    <mergeCell ref="K237:K238"/>
    <mergeCell ref="F237:F238"/>
    <mergeCell ref="G237:G238"/>
    <mergeCell ref="H237:H238"/>
    <mergeCell ref="E231:E232"/>
    <mergeCell ref="F231:F232"/>
    <mergeCell ref="G231:G232"/>
    <mergeCell ref="H231:H232"/>
    <mergeCell ref="I231:I232"/>
    <mergeCell ref="J231:J232"/>
    <mergeCell ref="K231:K232"/>
    <mergeCell ref="K227:K228"/>
    <mergeCell ref="L231:L232"/>
    <mergeCell ref="F233:F234"/>
    <mergeCell ref="L233:L234"/>
    <mergeCell ref="L227:L228"/>
    <mergeCell ref="A235:A236"/>
    <mergeCell ref="C235:C236"/>
    <mergeCell ref="D235:D236"/>
    <mergeCell ref="E235:E236"/>
    <mergeCell ref="F235:F236"/>
    <mergeCell ref="G235:G236"/>
    <mergeCell ref="H235:H236"/>
    <mergeCell ref="I235:I236"/>
    <mergeCell ref="J235:J236"/>
    <mergeCell ref="K235:K236"/>
    <mergeCell ref="L235:L236"/>
    <mergeCell ref="A233:A234"/>
    <mergeCell ref="A231:A232"/>
    <mergeCell ref="D231:D232"/>
    <mergeCell ref="K223:K224"/>
    <mergeCell ref="D227:D228"/>
    <mergeCell ref="E227:E228"/>
    <mergeCell ref="H225:H226"/>
    <mergeCell ref="I225:I226"/>
    <mergeCell ref="H221:H222"/>
    <mergeCell ref="I221:I222"/>
    <mergeCell ref="J221:J222"/>
    <mergeCell ref="K221:K222"/>
    <mergeCell ref="G227:G228"/>
    <mergeCell ref="H227:H228"/>
    <mergeCell ref="I227:I228"/>
    <mergeCell ref="J227:J228"/>
    <mergeCell ref="L223:L224"/>
    <mergeCell ref="A225:A226"/>
    <mergeCell ref="C225:C226"/>
    <mergeCell ref="D225:D226"/>
    <mergeCell ref="E225:E226"/>
    <mergeCell ref="F225:F226"/>
    <mergeCell ref="G225:G226"/>
    <mergeCell ref="L221:L222"/>
    <mergeCell ref="A207:A208"/>
    <mergeCell ref="C207:C208"/>
    <mergeCell ref="D207:D208"/>
    <mergeCell ref="E207:E208"/>
    <mergeCell ref="F207:F208"/>
    <mergeCell ref="G207:G208"/>
    <mergeCell ref="E221:E222"/>
    <mergeCell ref="F221:F222"/>
    <mergeCell ref="G221:G222"/>
    <mergeCell ref="H229:H230"/>
    <mergeCell ref="I229:I230"/>
    <mergeCell ref="J229:J230"/>
    <mergeCell ref="A223:A224"/>
    <mergeCell ref="C223:C224"/>
    <mergeCell ref="D223:D224"/>
    <mergeCell ref="E223:E224"/>
    <mergeCell ref="F223:F224"/>
    <mergeCell ref="G223:G224"/>
    <mergeCell ref="H223:H224"/>
    <mergeCell ref="I223:I224"/>
    <mergeCell ref="J223:J224"/>
    <mergeCell ref="A221:A222"/>
    <mergeCell ref="C221:C222"/>
    <mergeCell ref="D221:D222"/>
    <mergeCell ref="A227:A228"/>
    <mergeCell ref="C227:C228"/>
    <mergeCell ref="H215:H216"/>
    <mergeCell ref="I215:I216"/>
    <mergeCell ref="A215:A216"/>
    <mergeCell ref="A211:A212"/>
    <mergeCell ref="A229:A230"/>
    <mergeCell ref="A209:A210"/>
    <mergeCell ref="E199:E200"/>
    <mergeCell ref="F199:F200"/>
    <mergeCell ref="G199:G200"/>
    <mergeCell ref="H203:H204"/>
    <mergeCell ref="I203:I204"/>
    <mergeCell ref="J203:J204"/>
    <mergeCell ref="K203:K204"/>
    <mergeCell ref="L203:L204"/>
    <mergeCell ref="A203:A204"/>
    <mergeCell ref="C203:C204"/>
    <mergeCell ref="D203:D204"/>
    <mergeCell ref="E203:E204"/>
    <mergeCell ref="F203:F204"/>
    <mergeCell ref="G203:G204"/>
    <mergeCell ref="L205:L206"/>
    <mergeCell ref="A205:A206"/>
    <mergeCell ref="C205:C206"/>
    <mergeCell ref="D205:D206"/>
    <mergeCell ref="E205:E206"/>
    <mergeCell ref="F205:F206"/>
    <mergeCell ref="G205:G206"/>
    <mergeCell ref="I205:I206"/>
    <mergeCell ref="J205:J206"/>
    <mergeCell ref="K205:K206"/>
    <mergeCell ref="F197:F198"/>
    <mergeCell ref="G197:G198"/>
    <mergeCell ref="H195:H196"/>
    <mergeCell ref="I195:I196"/>
    <mergeCell ref="J195:J196"/>
    <mergeCell ref="K195:K196"/>
    <mergeCell ref="L195:L196"/>
    <mergeCell ref="A195:A196"/>
    <mergeCell ref="C195:C196"/>
    <mergeCell ref="D195:D196"/>
    <mergeCell ref="E195:E196"/>
    <mergeCell ref="F195:F196"/>
    <mergeCell ref="G195:G196"/>
    <mergeCell ref="H201:H202"/>
    <mergeCell ref="I201:I202"/>
    <mergeCell ref="J201:J202"/>
    <mergeCell ref="K201:K202"/>
    <mergeCell ref="L201:L202"/>
    <mergeCell ref="A201:A202"/>
    <mergeCell ref="C201:C202"/>
    <mergeCell ref="D201:D202"/>
    <mergeCell ref="E201:E202"/>
    <mergeCell ref="F201:F202"/>
    <mergeCell ref="G201:G202"/>
    <mergeCell ref="H199:H200"/>
    <mergeCell ref="I199:I200"/>
    <mergeCell ref="J199:J200"/>
    <mergeCell ref="K199:K200"/>
    <mergeCell ref="L199:L200"/>
    <mergeCell ref="A199:A200"/>
    <mergeCell ref="C199:C200"/>
    <mergeCell ref="D199:D200"/>
    <mergeCell ref="H183:H184"/>
    <mergeCell ref="I183:I184"/>
    <mergeCell ref="J183:J184"/>
    <mergeCell ref="K183:K184"/>
    <mergeCell ref="L183:L184"/>
    <mergeCell ref="A183:A184"/>
    <mergeCell ref="C183:C184"/>
    <mergeCell ref="D183:D184"/>
    <mergeCell ref="E183:E184"/>
    <mergeCell ref="F183:F184"/>
    <mergeCell ref="G183:G184"/>
    <mergeCell ref="H193:H194"/>
    <mergeCell ref="I193:I194"/>
    <mergeCell ref="J193:J194"/>
    <mergeCell ref="K193:K194"/>
    <mergeCell ref="L193:L194"/>
    <mergeCell ref="A193:A194"/>
    <mergeCell ref="C193:C194"/>
    <mergeCell ref="D193:D194"/>
    <mergeCell ref="E193:E194"/>
    <mergeCell ref="F193:F194"/>
    <mergeCell ref="G193:G194"/>
    <mergeCell ref="H191:H192"/>
    <mergeCell ref="I191:I192"/>
    <mergeCell ref="J191:J192"/>
    <mergeCell ref="K191:K192"/>
    <mergeCell ref="L191:L192"/>
    <mergeCell ref="A191:A192"/>
    <mergeCell ref="C191:C192"/>
    <mergeCell ref="D191:D192"/>
    <mergeCell ref="E191:E192"/>
    <mergeCell ref="F191:F192"/>
    <mergeCell ref="G173:G174"/>
    <mergeCell ref="H179:H180"/>
    <mergeCell ref="I179:I180"/>
    <mergeCell ref="J179:J180"/>
    <mergeCell ref="K179:K180"/>
    <mergeCell ref="L179:L180"/>
    <mergeCell ref="A179:A180"/>
    <mergeCell ref="C179:C180"/>
    <mergeCell ref="D179:D180"/>
    <mergeCell ref="E179:E180"/>
    <mergeCell ref="F179:F180"/>
    <mergeCell ref="G179:G180"/>
    <mergeCell ref="H177:H178"/>
    <mergeCell ref="I177:I178"/>
    <mergeCell ref="J177:J178"/>
    <mergeCell ref="K177:K178"/>
    <mergeCell ref="L177:L178"/>
    <mergeCell ref="A177:A178"/>
    <mergeCell ref="C177:C178"/>
    <mergeCell ref="D177:D178"/>
    <mergeCell ref="E177:E178"/>
    <mergeCell ref="F177:F178"/>
    <mergeCell ref="G177:G178"/>
    <mergeCell ref="H171:H172"/>
    <mergeCell ref="I171:I172"/>
    <mergeCell ref="J171:J172"/>
    <mergeCell ref="K171:K172"/>
    <mergeCell ref="L171:L172"/>
    <mergeCell ref="A171:A172"/>
    <mergeCell ref="C171:C172"/>
    <mergeCell ref="D171:D172"/>
    <mergeCell ref="E171:E172"/>
    <mergeCell ref="F171:F172"/>
    <mergeCell ref="G171:G172"/>
    <mergeCell ref="H175:H176"/>
    <mergeCell ref="I175:I176"/>
    <mergeCell ref="J175:J176"/>
    <mergeCell ref="K175:K176"/>
    <mergeCell ref="L175:L176"/>
    <mergeCell ref="A175:A176"/>
    <mergeCell ref="C175:C176"/>
    <mergeCell ref="D175:D176"/>
    <mergeCell ref="E175:E176"/>
    <mergeCell ref="F175:F176"/>
    <mergeCell ref="G175:G176"/>
    <mergeCell ref="H173:H174"/>
    <mergeCell ref="I173:I174"/>
    <mergeCell ref="J173:J174"/>
    <mergeCell ref="K173:K174"/>
    <mergeCell ref="L173:L174"/>
    <mergeCell ref="A173:A174"/>
    <mergeCell ref="C173:C174"/>
    <mergeCell ref="D173:D174"/>
    <mergeCell ref="E173:E174"/>
    <mergeCell ref="F173:F174"/>
    <mergeCell ref="H169:H170"/>
    <mergeCell ref="I169:I170"/>
    <mergeCell ref="J169:J170"/>
    <mergeCell ref="K169:K170"/>
    <mergeCell ref="L169:L170"/>
    <mergeCell ref="A169:A170"/>
    <mergeCell ref="C169:C170"/>
    <mergeCell ref="D169:D170"/>
    <mergeCell ref="E169:E170"/>
    <mergeCell ref="F169:F170"/>
    <mergeCell ref="G169:G170"/>
    <mergeCell ref="H167:H168"/>
    <mergeCell ref="I167:I168"/>
    <mergeCell ref="J167:J168"/>
    <mergeCell ref="K167:K168"/>
    <mergeCell ref="L167:L168"/>
    <mergeCell ref="A167:A168"/>
    <mergeCell ref="C167:C168"/>
    <mergeCell ref="D167:D168"/>
    <mergeCell ref="E167:E168"/>
    <mergeCell ref="F167:F168"/>
    <mergeCell ref="G167:G168"/>
    <mergeCell ref="H165:H166"/>
    <mergeCell ref="I165:I166"/>
    <mergeCell ref="J165:J166"/>
    <mergeCell ref="K165:K166"/>
    <mergeCell ref="L165:L166"/>
    <mergeCell ref="A165:A166"/>
    <mergeCell ref="C165:C166"/>
    <mergeCell ref="D165:D166"/>
    <mergeCell ref="E165:E166"/>
    <mergeCell ref="F165:F166"/>
    <mergeCell ref="G165:G166"/>
    <mergeCell ref="H163:H164"/>
    <mergeCell ref="I163:I164"/>
    <mergeCell ref="J163:J164"/>
    <mergeCell ref="K163:K164"/>
    <mergeCell ref="L163:L164"/>
    <mergeCell ref="A163:A164"/>
    <mergeCell ref="C163:C164"/>
    <mergeCell ref="D163:D164"/>
    <mergeCell ref="E163:E164"/>
    <mergeCell ref="F163:F164"/>
    <mergeCell ref="G163:G164"/>
    <mergeCell ref="L153:L154"/>
    <mergeCell ref="A153:A154"/>
    <mergeCell ref="A159:A160"/>
    <mergeCell ref="H161:H162"/>
    <mergeCell ref="I161:I162"/>
    <mergeCell ref="J161:J162"/>
    <mergeCell ref="K161:K162"/>
    <mergeCell ref="L161:L162"/>
    <mergeCell ref="A161:A162"/>
    <mergeCell ref="C161:C162"/>
    <mergeCell ref="D161:D162"/>
    <mergeCell ref="E161:E162"/>
    <mergeCell ref="F161:F162"/>
    <mergeCell ref="G161:G162"/>
    <mergeCell ref="H159:H160"/>
    <mergeCell ref="I159:I160"/>
    <mergeCell ref="J159:J160"/>
    <mergeCell ref="K159:K160"/>
    <mergeCell ref="L159:L160"/>
    <mergeCell ref="C159:C160"/>
    <mergeCell ref="D159:D160"/>
    <mergeCell ref="E159:E160"/>
    <mergeCell ref="F159:F160"/>
    <mergeCell ref="G159:G160"/>
    <mergeCell ref="K151:K152"/>
    <mergeCell ref="L151:L152"/>
    <mergeCell ref="H157:H158"/>
    <mergeCell ref="I157:I158"/>
    <mergeCell ref="J157:J158"/>
    <mergeCell ref="K157:K158"/>
    <mergeCell ref="L157:L158"/>
    <mergeCell ref="A157:A158"/>
    <mergeCell ref="C157:C158"/>
    <mergeCell ref="D157:D158"/>
    <mergeCell ref="E157:E158"/>
    <mergeCell ref="F157:F158"/>
    <mergeCell ref="G157:G158"/>
    <mergeCell ref="D151:D152"/>
    <mergeCell ref="E151:E152"/>
    <mergeCell ref="F151:F152"/>
    <mergeCell ref="G151:G152"/>
    <mergeCell ref="H155:H156"/>
    <mergeCell ref="I155:I156"/>
    <mergeCell ref="J155:J156"/>
    <mergeCell ref="K155:K156"/>
    <mergeCell ref="L155:L156"/>
    <mergeCell ref="A155:A156"/>
    <mergeCell ref="C155:C156"/>
    <mergeCell ref="D155:D156"/>
    <mergeCell ref="E155:E156"/>
    <mergeCell ref="F155:F156"/>
    <mergeCell ref="G155:G156"/>
    <mergeCell ref="H153:H154"/>
    <mergeCell ref="I153:I154"/>
    <mergeCell ref="J153:J154"/>
    <mergeCell ref="K153:K154"/>
    <mergeCell ref="A149:A150"/>
    <mergeCell ref="A147:A148"/>
    <mergeCell ref="A151:A152"/>
    <mergeCell ref="C151:C152"/>
    <mergeCell ref="H147:H148"/>
    <mergeCell ref="I147:I148"/>
    <mergeCell ref="J147:J148"/>
    <mergeCell ref="K147:K148"/>
    <mergeCell ref="L147:L148"/>
    <mergeCell ref="C147:C148"/>
    <mergeCell ref="D147:D148"/>
    <mergeCell ref="E147:E148"/>
    <mergeCell ref="F147:F148"/>
    <mergeCell ref="G147:G148"/>
    <mergeCell ref="C153:C154"/>
    <mergeCell ref="D153:D154"/>
    <mergeCell ref="E153:E154"/>
    <mergeCell ref="F153:F154"/>
    <mergeCell ref="G153:G154"/>
    <mergeCell ref="H149:H150"/>
    <mergeCell ref="I149:I150"/>
    <mergeCell ref="J149:J150"/>
    <mergeCell ref="K149:K150"/>
    <mergeCell ref="L149:L150"/>
    <mergeCell ref="C149:C150"/>
    <mergeCell ref="D149:D150"/>
    <mergeCell ref="E149:E150"/>
    <mergeCell ref="F149:F150"/>
    <mergeCell ref="G149:G150"/>
    <mergeCell ref="H151:H152"/>
    <mergeCell ref="I151:I152"/>
    <mergeCell ref="J151:J152"/>
    <mergeCell ref="G139:G140"/>
    <mergeCell ref="H145:H146"/>
    <mergeCell ref="I145:I146"/>
    <mergeCell ref="J145:J146"/>
    <mergeCell ref="K145:K146"/>
    <mergeCell ref="L145:L146"/>
    <mergeCell ref="A145:A146"/>
    <mergeCell ref="C145:C146"/>
    <mergeCell ref="D145:D146"/>
    <mergeCell ref="E145:E146"/>
    <mergeCell ref="F145:F146"/>
    <mergeCell ref="G145:G146"/>
    <mergeCell ref="H143:H144"/>
    <mergeCell ref="I143:I144"/>
    <mergeCell ref="J143:J144"/>
    <mergeCell ref="K143:K144"/>
    <mergeCell ref="L143:L144"/>
    <mergeCell ref="A143:A144"/>
    <mergeCell ref="C143:C144"/>
    <mergeCell ref="D143:D144"/>
    <mergeCell ref="E143:E144"/>
    <mergeCell ref="F143:F144"/>
    <mergeCell ref="G143:G144"/>
    <mergeCell ref="A139:A140"/>
    <mergeCell ref="A129:A130"/>
    <mergeCell ref="H137:H138"/>
    <mergeCell ref="I137:I138"/>
    <mergeCell ref="J137:J138"/>
    <mergeCell ref="K137:K138"/>
    <mergeCell ref="L137:L138"/>
    <mergeCell ref="A137:A138"/>
    <mergeCell ref="C137:C138"/>
    <mergeCell ref="D137:D138"/>
    <mergeCell ref="E137:E138"/>
    <mergeCell ref="F137:F138"/>
    <mergeCell ref="G137:G138"/>
    <mergeCell ref="H141:H142"/>
    <mergeCell ref="I141:I142"/>
    <mergeCell ref="J141:J142"/>
    <mergeCell ref="K141:K142"/>
    <mergeCell ref="L141:L142"/>
    <mergeCell ref="A141:A142"/>
    <mergeCell ref="C141:C142"/>
    <mergeCell ref="D141:D142"/>
    <mergeCell ref="E141:E142"/>
    <mergeCell ref="F141:F142"/>
    <mergeCell ref="G141:G142"/>
    <mergeCell ref="H139:H140"/>
    <mergeCell ref="I139:I140"/>
    <mergeCell ref="J139:J140"/>
    <mergeCell ref="K139:K140"/>
    <mergeCell ref="L139:L140"/>
    <mergeCell ref="C139:C140"/>
    <mergeCell ref="D139:D140"/>
    <mergeCell ref="E139:E140"/>
    <mergeCell ref="F139:F140"/>
    <mergeCell ref="H135:H136"/>
    <mergeCell ref="I135:I136"/>
    <mergeCell ref="J135:J136"/>
    <mergeCell ref="K135:K136"/>
    <mergeCell ref="L135:L136"/>
    <mergeCell ref="A135:A136"/>
    <mergeCell ref="C135:C136"/>
    <mergeCell ref="D135:D136"/>
    <mergeCell ref="E135:E136"/>
    <mergeCell ref="F135:F136"/>
    <mergeCell ref="G135:G136"/>
    <mergeCell ref="H133:H134"/>
    <mergeCell ref="I133:I134"/>
    <mergeCell ref="J133:J134"/>
    <mergeCell ref="K133:K134"/>
    <mergeCell ref="L133:L134"/>
    <mergeCell ref="A133:A134"/>
    <mergeCell ref="C133:C134"/>
    <mergeCell ref="D133:D134"/>
    <mergeCell ref="E133:E134"/>
    <mergeCell ref="F133:F134"/>
    <mergeCell ref="G133:G134"/>
    <mergeCell ref="H127:H128"/>
    <mergeCell ref="I127:I128"/>
    <mergeCell ref="J127:J128"/>
    <mergeCell ref="K127:K128"/>
    <mergeCell ref="L127:L128"/>
    <mergeCell ref="A127:A128"/>
    <mergeCell ref="C127:C128"/>
    <mergeCell ref="D127:D128"/>
    <mergeCell ref="E127:E128"/>
    <mergeCell ref="F127:F128"/>
    <mergeCell ref="G127:G128"/>
    <mergeCell ref="H131:H132"/>
    <mergeCell ref="I131:I132"/>
    <mergeCell ref="J131:J132"/>
    <mergeCell ref="K131:K132"/>
    <mergeCell ref="L131:L132"/>
    <mergeCell ref="A131:A132"/>
    <mergeCell ref="C131:C132"/>
    <mergeCell ref="D131:D132"/>
    <mergeCell ref="E131:E132"/>
    <mergeCell ref="F131:F132"/>
    <mergeCell ref="G131:G132"/>
    <mergeCell ref="H129:H130"/>
    <mergeCell ref="I129:I130"/>
    <mergeCell ref="J129:J130"/>
    <mergeCell ref="K129:K130"/>
    <mergeCell ref="L129:L130"/>
    <mergeCell ref="C129:C130"/>
    <mergeCell ref="D129:D130"/>
    <mergeCell ref="E129:E130"/>
    <mergeCell ref="F129:F130"/>
    <mergeCell ref="G129:G130"/>
    <mergeCell ref="H125:H126"/>
    <mergeCell ref="I125:I126"/>
    <mergeCell ref="J125:J126"/>
    <mergeCell ref="K125:K126"/>
    <mergeCell ref="L125:L126"/>
    <mergeCell ref="A125:A126"/>
    <mergeCell ref="C125:C126"/>
    <mergeCell ref="D125:D126"/>
    <mergeCell ref="E125:E126"/>
    <mergeCell ref="F125:F126"/>
    <mergeCell ref="G125:G126"/>
    <mergeCell ref="H123:H124"/>
    <mergeCell ref="I123:I124"/>
    <mergeCell ref="J123:J124"/>
    <mergeCell ref="K123:K124"/>
    <mergeCell ref="L123:L124"/>
    <mergeCell ref="A123:A124"/>
    <mergeCell ref="C123:C124"/>
    <mergeCell ref="D123:D124"/>
    <mergeCell ref="E123:E124"/>
    <mergeCell ref="F123:F124"/>
    <mergeCell ref="G123:G124"/>
    <mergeCell ref="H119:H120"/>
    <mergeCell ref="I119:I120"/>
    <mergeCell ref="J119:J120"/>
    <mergeCell ref="K119:K120"/>
    <mergeCell ref="L119:L120"/>
    <mergeCell ref="A119:A120"/>
    <mergeCell ref="C119:C120"/>
    <mergeCell ref="D119:D120"/>
    <mergeCell ref="E119:E120"/>
    <mergeCell ref="F119:F120"/>
    <mergeCell ref="G119:G120"/>
    <mergeCell ref="A121:A122"/>
    <mergeCell ref="C121:C122"/>
    <mergeCell ref="D121:D122"/>
    <mergeCell ref="E121:E122"/>
    <mergeCell ref="F121:F122"/>
    <mergeCell ref="G121:G122"/>
    <mergeCell ref="H121:H122"/>
    <mergeCell ref="L121:L122"/>
    <mergeCell ref="H117:H118"/>
    <mergeCell ref="I117:I118"/>
    <mergeCell ref="J117:J118"/>
    <mergeCell ref="K117:K118"/>
    <mergeCell ref="L117:L118"/>
    <mergeCell ref="A117:A118"/>
    <mergeCell ref="C117:C118"/>
    <mergeCell ref="D117:D118"/>
    <mergeCell ref="E117:E118"/>
    <mergeCell ref="F117:F118"/>
    <mergeCell ref="G117:G118"/>
    <mergeCell ref="H115:H116"/>
    <mergeCell ref="I115:I116"/>
    <mergeCell ref="J115:J116"/>
    <mergeCell ref="K115:K116"/>
    <mergeCell ref="L115:L116"/>
    <mergeCell ref="A115:A116"/>
    <mergeCell ref="C115:C116"/>
    <mergeCell ref="D115:D116"/>
    <mergeCell ref="E115:E116"/>
    <mergeCell ref="F115:F116"/>
    <mergeCell ref="G115:G116"/>
    <mergeCell ref="H111:H112"/>
    <mergeCell ref="I111:I112"/>
    <mergeCell ref="J111:J112"/>
    <mergeCell ref="K111:K112"/>
    <mergeCell ref="L111:L112"/>
    <mergeCell ref="I109:I110"/>
    <mergeCell ref="J109:J110"/>
    <mergeCell ref="K109:K110"/>
    <mergeCell ref="L109:L110"/>
    <mergeCell ref="A111:A112"/>
    <mergeCell ref="C111:C112"/>
    <mergeCell ref="D111:D112"/>
    <mergeCell ref="E111:E112"/>
    <mergeCell ref="F111:F112"/>
    <mergeCell ref="G111:G112"/>
    <mergeCell ref="K113:K114"/>
    <mergeCell ref="L113:L114"/>
    <mergeCell ref="A113:A114"/>
    <mergeCell ref="C113:C114"/>
    <mergeCell ref="A52:A53"/>
    <mergeCell ref="C52:C53"/>
    <mergeCell ref="D52:D53"/>
    <mergeCell ref="E52:E53"/>
    <mergeCell ref="F52:F53"/>
    <mergeCell ref="G52:G53"/>
    <mergeCell ref="H52:H53"/>
    <mergeCell ref="I52:I53"/>
    <mergeCell ref="J52:J53"/>
    <mergeCell ref="K107:K108"/>
    <mergeCell ref="L107:L108"/>
    <mergeCell ref="A109:A110"/>
    <mergeCell ref="C109:C110"/>
    <mergeCell ref="D109:D110"/>
    <mergeCell ref="E109:E110"/>
    <mergeCell ref="F109:F110"/>
    <mergeCell ref="G109:G110"/>
    <mergeCell ref="H109:H110"/>
    <mergeCell ref="F107:F108"/>
    <mergeCell ref="G107:G108"/>
    <mergeCell ref="H107:H108"/>
    <mergeCell ref="I107:I108"/>
    <mergeCell ref="J107:J108"/>
    <mergeCell ref="B104:E104"/>
    <mergeCell ref="B105:E105"/>
    <mergeCell ref="B106:E106"/>
    <mergeCell ref="A107:A108"/>
    <mergeCell ref="C107:C108"/>
    <mergeCell ref="D107:D108"/>
    <mergeCell ref="E107:E108"/>
    <mergeCell ref="K52:K53"/>
    <mergeCell ref="L52:L53"/>
    <mergeCell ref="F65:F66"/>
    <mergeCell ref="D69:D70"/>
    <mergeCell ref="E69:E70"/>
    <mergeCell ref="B101:E101"/>
    <mergeCell ref="B102:E102"/>
    <mergeCell ref="B103:E103"/>
    <mergeCell ref="A77:A78"/>
    <mergeCell ref="C77:C78"/>
    <mergeCell ref="D77:D78"/>
    <mergeCell ref="E77:E78"/>
    <mergeCell ref="F77:F78"/>
    <mergeCell ref="G77:G78"/>
    <mergeCell ref="H77:H78"/>
    <mergeCell ref="I77:I78"/>
    <mergeCell ref="A81:A82"/>
    <mergeCell ref="A71:A72"/>
    <mergeCell ref="C71:C72"/>
    <mergeCell ref="D71:D72"/>
    <mergeCell ref="C81:C82"/>
    <mergeCell ref="D81:D82"/>
    <mergeCell ref="A85:A86"/>
    <mergeCell ref="C85:C86"/>
    <mergeCell ref="A79:A80"/>
    <mergeCell ref="C79:C80"/>
    <mergeCell ref="A65:A66"/>
    <mergeCell ref="C65:C66"/>
    <mergeCell ref="D65:D66"/>
    <mergeCell ref="E65:E66"/>
    <mergeCell ref="I87:I88"/>
    <mergeCell ref="F91:F92"/>
    <mergeCell ref="G91:G92"/>
    <mergeCell ref="H91:H92"/>
    <mergeCell ref="L56:L57"/>
    <mergeCell ref="A56:A57"/>
    <mergeCell ref="C56:C57"/>
    <mergeCell ref="D56:D57"/>
    <mergeCell ref="E56:E57"/>
    <mergeCell ref="F56:F57"/>
    <mergeCell ref="G56:G57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A34:A35"/>
    <mergeCell ref="J40:J41"/>
    <mergeCell ref="H46:H47"/>
    <mergeCell ref="I46:I47"/>
    <mergeCell ref="J46:J47"/>
    <mergeCell ref="K46:K47"/>
    <mergeCell ref="L46:L47"/>
    <mergeCell ref="A46:A47"/>
    <mergeCell ref="C46:C47"/>
    <mergeCell ref="D46:D47"/>
    <mergeCell ref="E46:E47"/>
    <mergeCell ref="F46:F47"/>
    <mergeCell ref="G46:G47"/>
    <mergeCell ref="A44:A45"/>
    <mergeCell ref="H6:J7"/>
    <mergeCell ref="J30:J31"/>
    <mergeCell ref="K30:K31"/>
    <mergeCell ref="L30:L31"/>
    <mergeCell ref="A30:A31"/>
    <mergeCell ref="A26:A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A28:A29"/>
    <mergeCell ref="C28:C29"/>
    <mergeCell ref="D28:D29"/>
    <mergeCell ref="E28:E29"/>
    <mergeCell ref="A22:A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A24:A25"/>
    <mergeCell ref="C20:C21"/>
    <mergeCell ref="D20:D21"/>
    <mergeCell ref="E20:E21"/>
    <mergeCell ref="F20:F21"/>
    <mergeCell ref="G20:G21"/>
    <mergeCell ref="H18:H19"/>
    <mergeCell ref="I18:I19"/>
    <mergeCell ref="J18:J19"/>
    <mergeCell ref="K18:K19"/>
    <mergeCell ref="A18:A19"/>
    <mergeCell ref="C18:C19"/>
    <mergeCell ref="A16:A17"/>
    <mergeCell ref="C16:C17"/>
    <mergeCell ref="D16:D17"/>
    <mergeCell ref="E16:E17"/>
    <mergeCell ref="F16:F17"/>
    <mergeCell ref="G16:G17"/>
    <mergeCell ref="C6:C9"/>
    <mergeCell ref="D6:E7"/>
    <mergeCell ref="A6:A9"/>
    <mergeCell ref="H20:H21"/>
    <mergeCell ref="I20:I21"/>
    <mergeCell ref="J20:J21"/>
    <mergeCell ref="L20:L21"/>
    <mergeCell ref="L18:L19"/>
    <mergeCell ref="D18:D19"/>
    <mergeCell ref="E18:E19"/>
    <mergeCell ref="F18:F19"/>
    <mergeCell ref="G18:G19"/>
    <mergeCell ref="K20:K21"/>
    <mergeCell ref="L6:L9"/>
    <mergeCell ref="D8:D9"/>
    <mergeCell ref="E8:E9"/>
    <mergeCell ref="H8:H9"/>
    <mergeCell ref="B14:E14"/>
    <mergeCell ref="B15:E15"/>
    <mergeCell ref="I8:I9"/>
    <mergeCell ref="J8:J9"/>
    <mergeCell ref="K8:K9"/>
    <mergeCell ref="B11:E11"/>
    <mergeCell ref="B12:E12"/>
    <mergeCell ref="B13:E13"/>
    <mergeCell ref="B6:B9"/>
    <mergeCell ref="H16:H17"/>
    <mergeCell ref="I16:I17"/>
    <mergeCell ref="J16:J17"/>
    <mergeCell ref="K16:K17"/>
    <mergeCell ref="L16:L17"/>
    <mergeCell ref="A20:A21"/>
    <mergeCell ref="L54:L55"/>
    <mergeCell ref="J225:J226"/>
    <mergeCell ref="K225:K226"/>
    <mergeCell ref="L225:L226"/>
    <mergeCell ref="L67:L68"/>
    <mergeCell ref="L215:L216"/>
    <mergeCell ref="L209:L210"/>
    <mergeCell ref="E211:E212"/>
    <mergeCell ref="F211:F212"/>
    <mergeCell ref="G211:G212"/>
    <mergeCell ref="H211:H212"/>
    <mergeCell ref="I211:I212"/>
    <mergeCell ref="J211:J212"/>
    <mergeCell ref="K211:K212"/>
    <mergeCell ref="L211:L212"/>
    <mergeCell ref="L69:L70"/>
    <mergeCell ref="G65:G66"/>
    <mergeCell ref="H69:H70"/>
    <mergeCell ref="I69:I70"/>
    <mergeCell ref="H56:H57"/>
    <mergeCell ref="I56:I57"/>
    <mergeCell ref="J56:J57"/>
    <mergeCell ref="K56:K57"/>
    <mergeCell ref="J215:J216"/>
    <mergeCell ref="K215:K216"/>
    <mergeCell ref="F209:F210"/>
    <mergeCell ref="G209:G210"/>
    <mergeCell ref="H209:H210"/>
    <mergeCell ref="I209:I210"/>
    <mergeCell ref="J209:J210"/>
    <mergeCell ref="K209:K210"/>
    <mergeCell ref="B64:E64"/>
    <mergeCell ref="A67:A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C241:C242"/>
    <mergeCell ref="E233:E234"/>
    <mergeCell ref="G233:G234"/>
    <mergeCell ref="H233:H234"/>
    <mergeCell ref="I233:I234"/>
    <mergeCell ref="J233:J234"/>
    <mergeCell ref="K233:K234"/>
    <mergeCell ref="I121:I122"/>
    <mergeCell ref="J121:J122"/>
    <mergeCell ref="K121:K122"/>
    <mergeCell ref="F227:F228"/>
    <mergeCell ref="A219:A220"/>
    <mergeCell ref="H217:H218"/>
    <mergeCell ref="I217:I218"/>
    <mergeCell ref="J217:J218"/>
    <mergeCell ref="K217:K218"/>
    <mergeCell ref="D215:D216"/>
    <mergeCell ref="E215:E216"/>
    <mergeCell ref="F215:F216"/>
    <mergeCell ref="G215:G216"/>
    <mergeCell ref="A217:A218"/>
    <mergeCell ref="C217:C218"/>
    <mergeCell ref="J251:J252"/>
    <mergeCell ref="K251:K252"/>
    <mergeCell ref="L251:L252"/>
    <mergeCell ref="A251:A252"/>
    <mergeCell ref="C251:C252"/>
    <mergeCell ref="D251:D252"/>
    <mergeCell ref="E251:E252"/>
    <mergeCell ref="I247:I248"/>
    <mergeCell ref="J247:J248"/>
    <mergeCell ref="K247:K248"/>
    <mergeCell ref="L247:L248"/>
    <mergeCell ref="J69:J70"/>
    <mergeCell ref="K69:K70"/>
    <mergeCell ref="L217:L218"/>
    <mergeCell ref="D217:D218"/>
    <mergeCell ref="E217:E218"/>
    <mergeCell ref="F217:F218"/>
    <mergeCell ref="G217:G218"/>
    <mergeCell ref="H219:H220"/>
    <mergeCell ref="I219:I220"/>
    <mergeCell ref="J219:J220"/>
    <mergeCell ref="K219:K220"/>
    <mergeCell ref="L219:L220"/>
    <mergeCell ref="C219:C220"/>
    <mergeCell ref="D219:D220"/>
    <mergeCell ref="E219:E220"/>
    <mergeCell ref="F219:F220"/>
    <mergeCell ref="G219:G220"/>
    <mergeCell ref="D113:D114"/>
    <mergeCell ref="E113:E114"/>
    <mergeCell ref="F113:F114"/>
    <mergeCell ref="G113:G114"/>
    <mergeCell ref="A249:A250"/>
    <mergeCell ref="L65:L66"/>
    <mergeCell ref="A69:A70"/>
    <mergeCell ref="C69:C70"/>
    <mergeCell ref="F69:F70"/>
    <mergeCell ref="G69:G70"/>
    <mergeCell ref="H65:H66"/>
    <mergeCell ref="I65:I66"/>
    <mergeCell ref="J65:J66"/>
    <mergeCell ref="K65:K66"/>
    <mergeCell ref="D79:D80"/>
    <mergeCell ref="E79:E80"/>
    <mergeCell ref="F79:F80"/>
    <mergeCell ref="G79:G80"/>
    <mergeCell ref="A73:A74"/>
    <mergeCell ref="C73:C74"/>
    <mergeCell ref="D73:D74"/>
    <mergeCell ref="E73:E74"/>
    <mergeCell ref="F73:F74"/>
    <mergeCell ref="G73:G74"/>
    <mergeCell ref="I71:I72"/>
    <mergeCell ref="J71:J72"/>
    <mergeCell ref="K71:K72"/>
    <mergeCell ref="L71:L72"/>
    <mergeCell ref="A75:A76"/>
    <mergeCell ref="C75:C76"/>
    <mergeCell ref="I249:I250"/>
    <mergeCell ref="J249:J250"/>
    <mergeCell ref="K249:K250"/>
    <mergeCell ref="L249:L250"/>
    <mergeCell ref="A247:A248"/>
    <mergeCell ref="C247:C248"/>
    <mergeCell ref="D75:D76"/>
    <mergeCell ref="E75:E76"/>
    <mergeCell ref="F75:F76"/>
    <mergeCell ref="G75:G76"/>
    <mergeCell ref="H75:H76"/>
    <mergeCell ref="I75:I76"/>
    <mergeCell ref="J75:J76"/>
    <mergeCell ref="C249:C250"/>
    <mergeCell ref="D249:D250"/>
    <mergeCell ref="E249:E250"/>
    <mergeCell ref="F249:F250"/>
    <mergeCell ref="G249:G250"/>
    <mergeCell ref="H249:H250"/>
    <mergeCell ref="H243:H244"/>
    <mergeCell ref="D247:D248"/>
    <mergeCell ref="E247:E248"/>
    <mergeCell ref="F247:F248"/>
    <mergeCell ref="G247:G248"/>
    <mergeCell ref="H247:H248"/>
    <mergeCell ref="D209:D210"/>
    <mergeCell ref="E209:E210"/>
    <mergeCell ref="C215:C216"/>
    <mergeCell ref="C233:C234"/>
    <mergeCell ref="D233:D234"/>
    <mergeCell ref="C211:C212"/>
    <mergeCell ref="D211:D212"/>
    <mergeCell ref="C229:C230"/>
    <mergeCell ref="D229:D230"/>
    <mergeCell ref="E229:E230"/>
    <mergeCell ref="F229:F230"/>
    <mergeCell ref="G229:G230"/>
    <mergeCell ref="C231:C232"/>
    <mergeCell ref="A245:A246"/>
    <mergeCell ref="C245:C246"/>
    <mergeCell ref="D245:D246"/>
    <mergeCell ref="E245:E246"/>
    <mergeCell ref="F245:F246"/>
    <mergeCell ref="G245:G246"/>
    <mergeCell ref="H245:H246"/>
    <mergeCell ref="I245:I246"/>
    <mergeCell ref="J245:J246"/>
    <mergeCell ref="K245:K246"/>
    <mergeCell ref="L245:L246"/>
    <mergeCell ref="D241:D242"/>
    <mergeCell ref="E241:E242"/>
    <mergeCell ref="F241:F242"/>
    <mergeCell ref="G241:G242"/>
    <mergeCell ref="H241:H242"/>
    <mergeCell ref="I241:I242"/>
    <mergeCell ref="J241:J242"/>
    <mergeCell ref="K241:K242"/>
    <mergeCell ref="L241:L242"/>
    <mergeCell ref="L243:L244"/>
    <mergeCell ref="A241:A242"/>
    <mergeCell ref="A243:A244"/>
    <mergeCell ref="C243:C244"/>
    <mergeCell ref="D243:D244"/>
    <mergeCell ref="E243:E244"/>
    <mergeCell ref="F243:F244"/>
    <mergeCell ref="G243:G244"/>
    <mergeCell ref="A185:A186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A187:A188"/>
    <mergeCell ref="C187:C188"/>
    <mergeCell ref="D187:D188"/>
    <mergeCell ref="E187:E188"/>
    <mergeCell ref="F187:F188"/>
    <mergeCell ref="G187:G188"/>
    <mergeCell ref="H187:H188"/>
    <mergeCell ref="I187:I188"/>
    <mergeCell ref="J187:J188"/>
    <mergeCell ref="K187:K188"/>
    <mergeCell ref="L187:L188"/>
    <mergeCell ref="C209:C210"/>
    <mergeCell ref="I243:I244"/>
    <mergeCell ref="J243:J244"/>
    <mergeCell ref="K243:K244"/>
    <mergeCell ref="A213:A214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L213:L214"/>
    <mergeCell ref="H189:H190"/>
    <mergeCell ref="I189:I190"/>
    <mergeCell ref="J189:J190"/>
    <mergeCell ref="K189:K190"/>
    <mergeCell ref="L189:L190"/>
    <mergeCell ref="A189:A190"/>
    <mergeCell ref="C189:C190"/>
    <mergeCell ref="D189:D190"/>
    <mergeCell ref="E189:E190"/>
    <mergeCell ref="F189:F190"/>
    <mergeCell ref="G189:G190"/>
    <mergeCell ref="G191:G192"/>
    <mergeCell ref="H197:H198"/>
    <mergeCell ref="I197:I198"/>
    <mergeCell ref="J197:J198"/>
    <mergeCell ref="K197:K198"/>
    <mergeCell ref="L197:L198"/>
    <mergeCell ref="A263:A264"/>
    <mergeCell ref="C263:C264"/>
    <mergeCell ref="D263:D264"/>
    <mergeCell ref="E263:E264"/>
    <mergeCell ref="F263:F264"/>
    <mergeCell ref="G263:G264"/>
    <mergeCell ref="H263:H264"/>
    <mergeCell ref="I263:I264"/>
    <mergeCell ref="J263:J264"/>
    <mergeCell ref="K263:K264"/>
    <mergeCell ref="L263:L264"/>
    <mergeCell ref="A197:A198"/>
    <mergeCell ref="C197:C198"/>
    <mergeCell ref="D197:D198"/>
    <mergeCell ref="E197:E198"/>
    <mergeCell ref="J85:J86"/>
    <mergeCell ref="K85:K86"/>
    <mergeCell ref="L85:L86"/>
    <mergeCell ref="A87:A88"/>
    <mergeCell ref="C87:C88"/>
    <mergeCell ref="D87:D88"/>
    <mergeCell ref="E87:E88"/>
    <mergeCell ref="F87:F88"/>
    <mergeCell ref="G87:G88"/>
    <mergeCell ref="H87:H88"/>
    <mergeCell ref="A181:A182"/>
    <mergeCell ref="C181:C182"/>
    <mergeCell ref="D181:D182"/>
    <mergeCell ref="E181:E182"/>
    <mergeCell ref="F181:F182"/>
    <mergeCell ref="G181:G182"/>
    <mergeCell ref="H181:H182"/>
    <mergeCell ref="F81:F82"/>
    <mergeCell ref="G81:G82"/>
    <mergeCell ref="E71:E72"/>
    <mergeCell ref="F71:F72"/>
    <mergeCell ref="G71:G72"/>
    <mergeCell ref="H71:H72"/>
    <mergeCell ref="K75:K76"/>
    <mergeCell ref="L75:L76"/>
    <mergeCell ref="H73:H74"/>
    <mergeCell ref="I73:I74"/>
    <mergeCell ref="F261:F262"/>
    <mergeCell ref="G261:G262"/>
    <mergeCell ref="H261:H262"/>
    <mergeCell ref="I261:I262"/>
    <mergeCell ref="J261:J262"/>
    <mergeCell ref="K261:K262"/>
    <mergeCell ref="L261:L262"/>
    <mergeCell ref="L81:L82"/>
    <mergeCell ref="L73:L74"/>
    <mergeCell ref="J73:J74"/>
    <mergeCell ref="K73:K74"/>
    <mergeCell ref="I181:I182"/>
    <mergeCell ref="J181:J182"/>
    <mergeCell ref="K181:K182"/>
    <mergeCell ref="L181:L182"/>
    <mergeCell ref="H113:H114"/>
    <mergeCell ref="I113:I114"/>
    <mergeCell ref="J113:J114"/>
    <mergeCell ref="F251:F252"/>
    <mergeCell ref="G251:G252"/>
    <mergeCell ref="H251:H252"/>
    <mergeCell ref="I251:I252"/>
    <mergeCell ref="D85:D86"/>
    <mergeCell ref="E85:E86"/>
    <mergeCell ref="F85:F86"/>
    <mergeCell ref="G85:G86"/>
    <mergeCell ref="H85:H86"/>
    <mergeCell ref="I85:I86"/>
    <mergeCell ref="A58:A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A83:A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J77:J78"/>
    <mergeCell ref="K77:K78"/>
    <mergeCell ref="L77:L78"/>
    <mergeCell ref="E81:E82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A91:A92"/>
    <mergeCell ref="F89:F90"/>
    <mergeCell ref="G89:G90"/>
    <mergeCell ref="H89:H90"/>
    <mergeCell ref="I89:I90"/>
    <mergeCell ref="J89:J90"/>
    <mergeCell ref="K89:K90"/>
    <mergeCell ref="L89:L90"/>
    <mergeCell ref="L95:L96"/>
    <mergeCell ref="C91:C92"/>
    <mergeCell ref="D91:D92"/>
    <mergeCell ref="E91:E92"/>
    <mergeCell ref="J87:J88"/>
    <mergeCell ref="K87:K88"/>
    <mergeCell ref="L87:L88"/>
    <mergeCell ref="A89:A90"/>
    <mergeCell ref="C89:C90"/>
    <mergeCell ref="D89:D90"/>
    <mergeCell ref="E89:E90"/>
    <mergeCell ref="K265:K266"/>
    <mergeCell ref="L265:L266"/>
    <mergeCell ref="A97:A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A261:A262"/>
    <mergeCell ref="C261:C262"/>
    <mergeCell ref="D261:D262"/>
    <mergeCell ref="E261:E262"/>
    <mergeCell ref="I91:I92"/>
    <mergeCell ref="J91:J92"/>
    <mergeCell ref="K91:K92"/>
    <mergeCell ref="L91:L92"/>
    <mergeCell ref="A93:A94"/>
    <mergeCell ref="K99:K100"/>
    <mergeCell ref="L99:L100"/>
    <mergeCell ref="A265:A266"/>
    <mergeCell ref="C265:C266"/>
    <mergeCell ref="D265:D266"/>
    <mergeCell ref="E265:E266"/>
    <mergeCell ref="F265:F266"/>
    <mergeCell ref="G265:G266"/>
    <mergeCell ref="H265:H266"/>
    <mergeCell ref="I265:I266"/>
    <mergeCell ref="J265:J266"/>
    <mergeCell ref="A60:A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A95:A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A62:A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A269:A270"/>
    <mergeCell ref="C269:C270"/>
    <mergeCell ref="D269:D270"/>
    <mergeCell ref="E269:E270"/>
    <mergeCell ref="F269:F270"/>
    <mergeCell ref="G269:G270"/>
    <mergeCell ref="H269:H270"/>
    <mergeCell ref="I269:I270"/>
    <mergeCell ref="J269:J270"/>
    <mergeCell ref="K269:K270"/>
    <mergeCell ref="L269:L270"/>
    <mergeCell ref="L97:L98"/>
    <mergeCell ref="A99:A100"/>
    <mergeCell ref="C99:C100"/>
    <mergeCell ref="D99:D100"/>
    <mergeCell ref="E99:E100"/>
    <mergeCell ref="F99:F100"/>
    <mergeCell ref="G99:G100"/>
    <mergeCell ref="H99:H100"/>
    <mergeCell ref="I99:I100"/>
    <mergeCell ref="J99:J100"/>
  </mergeCells>
  <printOptions horizontalCentered="1"/>
  <pageMargins left="0.70866141732283472" right="0.15748031496062992" top="0.19685039370078741" bottom="0.27559055118110237" header="0.31496062992125984" footer="0.31496062992125984"/>
  <pageSetup paperSize="9" scale="70" firstPageNumber="9" orientation="landscape" useFirstPageNumber="1" horizont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WPF-Zał 1</vt:lpstr>
      <vt:lpstr>WPF zał. 2</vt:lpstr>
      <vt:lpstr>'WPF zał. 2'!Tytuły_wydruku</vt:lpstr>
      <vt:lpstr>'WPF-Zał 1'!Tytuły_wydruku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hwicik</dc:creator>
  <cp:lastModifiedBy>Renata Forysiuk</cp:lastModifiedBy>
  <cp:lastPrinted>2017-12-20T12:34:57Z</cp:lastPrinted>
  <dcterms:created xsi:type="dcterms:W3CDTF">2013-01-28T10:16:46Z</dcterms:created>
  <dcterms:modified xsi:type="dcterms:W3CDTF">2017-12-21T07:24:00Z</dcterms:modified>
</cp:coreProperties>
</file>